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335" windowHeight="8790" tabRatio="714" activeTab="0"/>
  </bookViews>
  <sheets>
    <sheet name="Appendix Table of Contents" sheetId="1" r:id="rId1"/>
    <sheet name="(1) Dielectric Constants" sheetId="2" r:id="rId2"/>
    <sheet name="(2)TP model-Porosity-Mineralogy" sheetId="3" r:id="rId3"/>
    <sheet name="(3) TP model - Porosity-Sw" sheetId="4" r:id="rId4"/>
    <sheet name="(4) RC - Porosity-Mineralogy" sheetId="5" r:id="rId5"/>
    <sheet name="(5) Modeled TWT and RC" sheetId="6" r:id="rId6"/>
    <sheet name="(6) Vertical Resolution" sheetId="7" r:id="rId7"/>
    <sheet name="(7) Spatial Resolution" sheetId="8" r:id="rId8"/>
  </sheets>
  <definedNames>
    <definedName name="_xlnm.Print_Area" localSheetId="2">'(2)TP model-Porosity-Mineralogy'!$A$1:$N$45</definedName>
    <definedName name="_xlnm.Print_Area" localSheetId="3">'(3) TP model - Porosity-Sw'!$A$1:$N$45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<sst xmlns="http://schemas.openxmlformats.org/spreadsheetml/2006/main" count="330" uniqueCount="204">
  <si>
    <t>Porosity (%)</t>
  </si>
  <si>
    <t>Dielectric Constants</t>
  </si>
  <si>
    <t>Matrix constituents (%)</t>
  </si>
  <si>
    <t>Quartz</t>
  </si>
  <si>
    <t>Mica</t>
  </si>
  <si>
    <t>Air</t>
  </si>
  <si>
    <t>Water</t>
  </si>
  <si>
    <t>Matrix</t>
  </si>
  <si>
    <t>Gypsum</t>
  </si>
  <si>
    <t>Calcite</t>
  </si>
  <si>
    <t>thickness</t>
  </si>
  <si>
    <t>constant</t>
  </si>
  <si>
    <t>dielectric</t>
  </si>
  <si>
    <t>(m)</t>
  </si>
  <si>
    <t>TWT</t>
  </si>
  <si>
    <t>(ns)</t>
  </si>
  <si>
    <t>Reflection</t>
  </si>
  <si>
    <t>Coefficient</t>
  </si>
  <si>
    <t>Kaolinite</t>
  </si>
  <si>
    <t>Acetone</t>
  </si>
  <si>
    <t>Lucius et al., 1989</t>
  </si>
  <si>
    <t>Albite</t>
  </si>
  <si>
    <t>Olhoeft, 1979</t>
  </si>
  <si>
    <t>Benzene</t>
  </si>
  <si>
    <t>Carbon tetrachloride</t>
  </si>
  <si>
    <t>Chloroform</t>
  </si>
  <si>
    <t>Cyclohexane</t>
  </si>
  <si>
    <t>Halite</t>
  </si>
  <si>
    <t>Ice</t>
  </si>
  <si>
    <t>Methanol</t>
  </si>
  <si>
    <t>Montmorillonite</t>
  </si>
  <si>
    <t>Olivine</t>
  </si>
  <si>
    <t>Orthoclase</t>
  </si>
  <si>
    <t>Pyroxene</t>
  </si>
  <si>
    <t>Tetrachloroethene</t>
  </si>
  <si>
    <t>Trichloroethene</t>
  </si>
  <si>
    <t>Mineral or Fluid</t>
  </si>
  <si>
    <t>Dielectric</t>
  </si>
  <si>
    <t>Constant</t>
  </si>
  <si>
    <t>Frequency</t>
  </si>
  <si>
    <t>(MHz)</t>
  </si>
  <si>
    <t>Reference</t>
  </si>
  <si>
    <t>Davis and Annan, 1989</t>
  </si>
  <si>
    <t>depth</t>
  </si>
  <si>
    <t>interval</t>
  </si>
  <si>
    <t>top</t>
  </si>
  <si>
    <t>base</t>
  </si>
  <si>
    <t>number</t>
  </si>
  <si>
    <t>depth (m)</t>
  </si>
  <si>
    <t>Porosity</t>
  </si>
  <si>
    <t>(%)</t>
  </si>
  <si>
    <t>Saturation</t>
  </si>
  <si>
    <t>Layer One</t>
  </si>
  <si>
    <t>Layer Two</t>
  </si>
  <si>
    <t>Sw =</t>
  </si>
  <si>
    <t>Layer Three</t>
  </si>
  <si>
    <t>CHART DATA</t>
  </si>
  <si>
    <t>Pore</t>
  </si>
  <si>
    <t>Space</t>
  </si>
  <si>
    <t>Percent Water Saturation (Sw)</t>
  </si>
  <si>
    <t>Layer One Dielectric Constant Values</t>
  </si>
  <si>
    <t>Layer Two Dielectric Constant Values</t>
  </si>
  <si>
    <t>Layer Three Dielectric Constant Values</t>
  </si>
  <si>
    <t>Dielectric Constant</t>
  </si>
  <si>
    <t>Table 2.  Dielectric Constants of Common Minerals and Fluids</t>
  </si>
  <si>
    <t>Depth</t>
  </si>
  <si>
    <t>Antenna Frequency (MHz)</t>
  </si>
  <si>
    <t>Bulk Dielectric Constant</t>
  </si>
  <si>
    <t>A</t>
  </si>
  <si>
    <t>Radius (m)</t>
  </si>
  <si>
    <t>B</t>
  </si>
  <si>
    <t>Matrix Mineralogy</t>
  </si>
  <si>
    <t>Pore Fluid Saturation (%)</t>
  </si>
  <si>
    <t>Ethylene glycol</t>
  </si>
  <si>
    <t>Martinez and Byrnes</t>
  </si>
  <si>
    <t>&lt;- Matrix mineral #1 (from Dielectric Constants sheet)</t>
  </si>
  <si>
    <t>&lt;- Matrix mineral #2 (from Dielectric Constants sheet)</t>
  </si>
  <si>
    <t>&lt;- Pore space material #1 (from Dielectric Constants sheet)</t>
  </si>
  <si>
    <t>&lt;- Pore space material #2 (from Dielectric Constants sheet)</t>
  </si>
  <si>
    <t>&lt;- Percent water saturation (between 0 and 100) for layer #1</t>
  </si>
  <si>
    <t>&lt;- Percent water saturation (between 0 and 100) for layer #2</t>
  </si>
  <si>
    <t>&lt;- Percent water saturation (between 0 and 100) for layer #3</t>
  </si>
  <si>
    <t>Geologic Model</t>
  </si>
  <si>
    <t>Matrix Minerals</t>
  </si>
  <si>
    <t>Min. #1</t>
  </si>
  <si>
    <t>Min. #2</t>
  </si>
  <si>
    <t>Absolute</t>
  </si>
  <si>
    <t>Dry</t>
  </si>
  <si>
    <t>Mineralogic Model = Quartz and Calcite Mix, 20% Porosity</t>
  </si>
  <si>
    <t>Mineralogic Model = Quartz, variable porosity</t>
  </si>
  <si>
    <t>Mineral #1</t>
  </si>
  <si>
    <t>Mineral #2</t>
  </si>
  <si>
    <t>Mineral #2 Percent - Sheet 1</t>
  </si>
  <si>
    <t>Mineral #2 Percent - Sheet 2</t>
  </si>
  <si>
    <t>Mineral #2 Percent - Sheet 3</t>
  </si>
  <si>
    <t>Pore Fluid #1</t>
  </si>
  <si>
    <t>Pore Fluid #2</t>
  </si>
  <si>
    <t>&lt;-Percentage of Mineral #2 in the mineral matrix</t>
  </si>
  <si>
    <t>Number of Stacks to Achieve an RC of 0.1</t>
  </si>
  <si>
    <t>No. of</t>
  </si>
  <si>
    <t>Stacks</t>
  </si>
  <si>
    <t xml:space="preserve">&lt;- Assumes SNR increases </t>
  </si>
  <si>
    <t xml:space="preserve">    as the square root of the number of stacks</t>
  </si>
  <si>
    <t>(RC &lt; 0.1 is ~ SNR &lt; 1)</t>
  </si>
  <si>
    <t>Based on Time-Propagation Model</t>
  </si>
  <si>
    <t>To calculate properties for different mineralogy (in two-mineral system) and/or different fluid saturations in pore space change values in red cells below</t>
  </si>
  <si>
    <t>the tables and figures will recalculate automatically based on the values in the red cells.  Three layers and graphs are presented below for greater ease in comparison between models</t>
  </si>
  <si>
    <t>The Effect of Changing Porosity for Constant Mineralogy</t>
  </si>
  <si>
    <t>The Effect of Changing Mineralogy at Constant Porosity</t>
  </si>
  <si>
    <t xml:space="preserve">The Theoretical Effect of Varying Mineralogy and Porosity with Fixed Water Saturations on Bulk Dielectric Constant </t>
  </si>
  <si>
    <t>The Theoretical Effect of Varying Porosity and Water Saturation with fixed Mineralogy on Bulk Dielectric Constant</t>
  </si>
  <si>
    <t xml:space="preserve">Note: Current input values, in red cells, are referenced to values listed in the Reported Dielectric Constants worksheet #1 </t>
  </si>
  <si>
    <t xml:space="preserve">Note: Current input values, in red cells, are referenced to values listed in the Reported Dielectric Constants worksheet#1. </t>
  </si>
  <si>
    <t>Calculation of Two-Way Travel Time and Reflection Coefficient for Three-Layer Stratigraphic Model</t>
  </si>
  <si>
    <t>Note: full scales between depth figures and TWT figures may not correspond due to autoscaling</t>
  </si>
  <si>
    <t>Pore Fluids</t>
  </si>
  <si>
    <t>Fluid #1</t>
  </si>
  <si>
    <t>Fluid #2</t>
  </si>
  <si>
    <t>TP Model</t>
  </si>
  <si>
    <t>Input Names and Dielectric Constants</t>
  </si>
  <si>
    <t>Name</t>
  </si>
  <si>
    <t>Values for dielectric constant can be obtained from sheet #1</t>
  </si>
  <si>
    <t>(User enters appropriate values in all red cells)</t>
  </si>
  <si>
    <t>Spatial Resolution Worksheet</t>
  </si>
  <si>
    <t>&lt;- Values either entered or linked to TP Model sheet</t>
  </si>
  <si>
    <t>(User enters values in red cells)</t>
  </si>
  <si>
    <t>Dielectric Constant Values Obtained from TP Model Worksheet #3</t>
  </si>
  <si>
    <t>Dielectric Constant Values Obtained from TP Model Worksheet #2</t>
  </si>
  <si>
    <t>Water Saturated</t>
  </si>
  <si>
    <t>Appendix A</t>
  </si>
  <si>
    <t>(1) Dielectric Constants Worksheet</t>
  </si>
  <si>
    <t>(2) TP Model - Porosity-Mineralogy Worksheet</t>
  </si>
  <si>
    <t>(3) TP Model - Porosity-Sw Worksheet</t>
  </si>
  <si>
    <t>(5) Modeled TWT and RC Worksheet</t>
  </si>
  <si>
    <t>(6) Vertical Resolution Worksheet</t>
  </si>
  <si>
    <t>(7) Spatial Resolution Worksheet</t>
  </si>
  <si>
    <t>Modeling Dielectric Constant Values of Geologic Materials: An Aid to Ground-Penetrating Radar Data Collection and Interpretation</t>
  </si>
  <si>
    <t>(4) RC - Porosity-Mineralogy and Stacking Worksheet</t>
  </si>
  <si>
    <t>(This Appendix A workbook contains the following worksheets.  Equations are discussed in the text)</t>
  </si>
  <si>
    <t>Vertical Resolution versus Frequency</t>
  </si>
  <si>
    <t>For reference - bulk dielectric constants (measured at 100 MHz) of common materials.</t>
  </si>
  <si>
    <t>Material</t>
  </si>
  <si>
    <t>Davis and Annan (1989)</t>
  </si>
  <si>
    <t>Daniels (1996)</t>
  </si>
  <si>
    <t>Distilled water</t>
  </si>
  <si>
    <t>Fresh water</t>
  </si>
  <si>
    <t>Sea water</t>
  </si>
  <si>
    <t>Fresh water ice</t>
  </si>
  <si>
    <t xml:space="preserve"> 3-4</t>
  </si>
  <si>
    <t>Sea water ice</t>
  </si>
  <si>
    <t>4-8</t>
  </si>
  <si>
    <t>Snow</t>
  </si>
  <si>
    <t>8-12</t>
  </si>
  <si>
    <t>Permafrost</t>
  </si>
  <si>
    <t>Sand, dry</t>
  </si>
  <si>
    <t>3-5</t>
  </si>
  <si>
    <t>4-6</t>
  </si>
  <si>
    <t>Sand, wet</t>
  </si>
  <si>
    <t>20-30</t>
  </si>
  <si>
    <t>10-30</t>
  </si>
  <si>
    <t>Sandstone, dry</t>
  </si>
  <si>
    <t>2-3</t>
  </si>
  <si>
    <t>Sandstone, wet</t>
  </si>
  <si>
    <t>5-10</t>
  </si>
  <si>
    <t>Limestone</t>
  </si>
  <si>
    <t>Limestone, dry</t>
  </si>
  <si>
    <t>Limestone wet</t>
  </si>
  <si>
    <t>Shales</t>
  </si>
  <si>
    <t>5-15</t>
  </si>
  <si>
    <t>Shale, wet</t>
  </si>
  <si>
    <t>6-9</t>
  </si>
  <si>
    <t>Silts</t>
  </si>
  <si>
    <t>5-30</t>
  </si>
  <si>
    <t>Clays</t>
  </si>
  <si>
    <t>5-40</t>
  </si>
  <si>
    <t>Clay, dry</t>
  </si>
  <si>
    <t>2-6</t>
  </si>
  <si>
    <t>Clay, wet</t>
  </si>
  <si>
    <t>15-40</t>
  </si>
  <si>
    <t>Soil, sandy dry</t>
  </si>
  <si>
    <t>Soil, sandy wet</t>
  </si>
  <si>
    <t>15-30</t>
  </si>
  <si>
    <t>Soil, loamy dry</t>
  </si>
  <si>
    <t>Soil, loamy wet</t>
  </si>
  <si>
    <t>10-20</t>
  </si>
  <si>
    <t>Soil, clayey dry</t>
  </si>
  <si>
    <t>Soil, clayey wet</t>
  </si>
  <si>
    <t>10-15</t>
  </si>
  <si>
    <t>Coal, dry</t>
  </si>
  <si>
    <t>Coal, wet</t>
  </si>
  <si>
    <t>Granite</t>
  </si>
  <si>
    <t>Granite, dry</t>
  </si>
  <si>
    <t>Granite, wet</t>
  </si>
  <si>
    <t>Salt, dry</t>
  </si>
  <si>
    <t>5-6</t>
  </si>
  <si>
    <t>4-7</t>
  </si>
  <si>
    <t xml:space="preserve">To construct wavelength versus frequency plot - </t>
  </si>
  <si>
    <t>input frequency and dielectric constant value into red cells</t>
  </si>
  <si>
    <t>Velocity</t>
  </si>
  <si>
    <t>Wavelength</t>
  </si>
  <si>
    <t>Quarter wavelength</t>
  </si>
  <si>
    <t>(m/ns)</t>
  </si>
  <si>
    <t>(ft/ns)</t>
  </si>
  <si>
    <t>(ft)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</si>
</sst>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E+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9.5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1.25"/>
      <name val="Arial"/>
      <family val="0"/>
    </font>
    <font>
      <sz val="1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3.5"/>
      <name val="Times New Roman"/>
      <family val="1"/>
    </font>
    <font>
      <sz val="11.75"/>
      <name val="Times New Roman"/>
      <family val="1"/>
    </font>
    <font>
      <b/>
      <sz val="11.75"/>
      <name val="Times New Roman"/>
      <family val="1"/>
    </font>
    <font>
      <sz val="11.5"/>
      <name val="Times New Roman"/>
      <family val="1"/>
    </font>
    <font>
      <sz val="11.25"/>
      <name val="Arial"/>
      <family val="0"/>
    </font>
    <font>
      <sz val="10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mediumDashDotDot"/>
    </border>
    <border>
      <left style="thin"/>
      <right style="thick"/>
      <top style="thin"/>
      <bottom style="mediumDashDot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ck"/>
      <right style="thin"/>
      <top style="thin"/>
      <bottom style="thick"/>
    </border>
    <border>
      <left style="thin"/>
      <right style="mediumDashDotDot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DashDotDot"/>
      <right style="thin"/>
      <top style="mediumDashDotDot"/>
      <bottom style="thin"/>
    </border>
    <border>
      <left>
        <color indexed="63"/>
      </left>
      <right style="thin"/>
      <top style="mediumDashDotDot"/>
      <bottom style="thin"/>
    </border>
    <border>
      <left>
        <color indexed="63"/>
      </left>
      <right style="thick"/>
      <top style="mediumDashDotDot"/>
      <bottom style="thin"/>
    </border>
    <border>
      <left style="mediumDashDotDot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DashDotDot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DashDotDot"/>
    </border>
    <border>
      <left>
        <color indexed="63"/>
      </left>
      <right>
        <color indexed="63"/>
      </right>
      <top style="thick"/>
      <bottom style="mediumDashDotDot"/>
    </border>
    <border>
      <left>
        <color indexed="63"/>
      </left>
      <right style="thick"/>
      <top style="thick"/>
      <bottom style="mediumDashDotDot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DashDot"/>
      <bottom style="thin"/>
    </border>
    <border>
      <left style="thin"/>
      <right style="thick"/>
      <top style="mediumDashDotDot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/>
    </xf>
    <xf numFmtId="0" fontId="1" fillId="0" borderId="4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6" fillId="2" borderId="5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59" xfId="0" applyFont="1" applyBorder="1" applyAlignment="1">
      <alignment horizontal="centerContinuous"/>
    </xf>
    <xf numFmtId="0" fontId="1" fillId="0" borderId="60" xfId="0" applyFont="1" applyBorder="1" applyAlignment="1">
      <alignment horizontal="centerContinuous"/>
    </xf>
    <xf numFmtId="2" fontId="0" fillId="0" borderId="6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66" xfId="0" applyFont="1" applyBorder="1" applyAlignment="1">
      <alignment/>
    </xf>
    <xf numFmtId="2" fontId="0" fillId="0" borderId="51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67" xfId="0" applyBorder="1" applyAlignment="1">
      <alignment horizontal="centerContinuous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7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2" fontId="5" fillId="0" borderId="77" xfId="0" applyNumberFormat="1" applyFont="1" applyBorder="1" applyAlignment="1">
      <alignment horizontal="center"/>
    </xf>
    <xf numFmtId="165" fontId="5" fillId="0" borderId="78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2" fontId="5" fillId="0" borderId="80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77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2" borderId="77" xfId="0" applyFill="1" applyBorder="1" applyAlignment="1">
      <alignment/>
    </xf>
    <xf numFmtId="0" fontId="0" fillId="2" borderId="80" xfId="0" applyFill="1" applyBorder="1" applyAlignment="1">
      <alignment/>
    </xf>
    <xf numFmtId="0" fontId="1" fillId="0" borderId="77" xfId="0" applyFont="1" applyFill="1" applyBorder="1" applyAlignment="1">
      <alignment/>
    </xf>
    <xf numFmtId="0" fontId="0" fillId="2" borderId="78" xfId="0" applyFill="1" applyBorder="1" applyAlignment="1">
      <alignment/>
    </xf>
    <xf numFmtId="0" fontId="0" fillId="2" borderId="81" xfId="0" applyFill="1" applyBorder="1" applyAlignment="1">
      <alignment/>
    </xf>
    <xf numFmtId="0" fontId="1" fillId="0" borderId="83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Continuous"/>
    </xf>
    <xf numFmtId="0" fontId="0" fillId="0" borderId="87" xfId="0" applyBorder="1" applyAlignment="1">
      <alignment horizontal="centerContinuous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7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2" fontId="0" fillId="0" borderId="88" xfId="0" applyNumberFormat="1" applyFill="1" applyBorder="1" applyAlignment="1">
      <alignment/>
    </xf>
    <xf numFmtId="2" fontId="0" fillId="0" borderId="77" xfId="0" applyNumberFormat="1" applyFill="1" applyBorder="1" applyAlignment="1">
      <alignment/>
    </xf>
    <xf numFmtId="2" fontId="0" fillId="0" borderId="80" xfId="0" applyNumberFormat="1" applyFill="1" applyBorder="1" applyAlignment="1">
      <alignment/>
    </xf>
    <xf numFmtId="0" fontId="0" fillId="0" borderId="59" xfId="0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2" fontId="0" fillId="2" borderId="77" xfId="0" applyNumberFormat="1" applyFont="1" applyFill="1" applyBorder="1" applyAlignment="1">
      <alignment/>
    </xf>
    <xf numFmtId="2" fontId="0" fillId="0" borderId="77" xfId="0" applyNumberFormat="1" applyFont="1" applyBorder="1" applyAlignment="1">
      <alignment/>
    </xf>
    <xf numFmtId="165" fontId="0" fillId="0" borderId="77" xfId="0" applyNumberFormat="1" applyFont="1" applyBorder="1" applyAlignment="1">
      <alignment horizontal="center"/>
    </xf>
    <xf numFmtId="0" fontId="0" fillId="0" borderId="77" xfId="0" applyFont="1" applyBorder="1" applyAlignment="1">
      <alignment/>
    </xf>
    <xf numFmtId="165" fontId="0" fillId="0" borderId="78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2" fontId="0" fillId="0" borderId="80" xfId="0" applyNumberFormat="1" applyFont="1" applyBorder="1" applyAlignment="1">
      <alignment/>
    </xf>
    <xf numFmtId="0" fontId="0" fillId="0" borderId="80" xfId="0" applyFont="1" applyBorder="1" applyAlignment="1">
      <alignment/>
    </xf>
    <xf numFmtId="165" fontId="0" fillId="0" borderId="80" xfId="0" applyNumberFormat="1" applyFont="1" applyBorder="1" applyAlignment="1">
      <alignment horizontal="center"/>
    </xf>
    <xf numFmtId="165" fontId="0" fillId="0" borderId="81" xfId="0" applyNumberFormat="1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91" xfId="0" applyFont="1" applyBorder="1" applyAlignment="1">
      <alignment/>
    </xf>
    <xf numFmtId="0" fontId="6" fillId="0" borderId="7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165" fontId="5" fillId="0" borderId="76" xfId="0" applyNumberFormat="1" applyFont="1" applyBorder="1" applyAlignment="1">
      <alignment horizontal="center"/>
    </xf>
    <xf numFmtId="1" fontId="5" fillId="0" borderId="78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 horizontal="centerContinuous"/>
    </xf>
    <xf numFmtId="0" fontId="1" fillId="0" borderId="77" xfId="0" applyFont="1" applyBorder="1" applyAlignment="1">
      <alignment horizontal="centerContinuous"/>
    </xf>
    <xf numFmtId="0" fontId="0" fillId="2" borderId="77" xfId="0" applyFont="1" applyFill="1" applyBorder="1" applyAlignment="1">
      <alignment/>
    </xf>
    <xf numFmtId="0" fontId="0" fillId="2" borderId="80" xfId="0" applyFont="1" applyFill="1" applyBorder="1" applyAlignment="1">
      <alignment/>
    </xf>
    <xf numFmtId="164" fontId="0" fillId="2" borderId="77" xfId="0" applyNumberFormat="1" applyFont="1" applyFill="1" applyBorder="1" applyAlignment="1">
      <alignment/>
    </xf>
    <xf numFmtId="164" fontId="0" fillId="2" borderId="80" xfId="0" applyNumberFormat="1" applyFont="1" applyFill="1" applyBorder="1" applyAlignment="1">
      <alignment/>
    </xf>
    <xf numFmtId="2" fontId="0" fillId="2" borderId="80" xfId="0" applyNumberFormat="1" applyFont="1" applyFill="1" applyBorder="1" applyAlignment="1">
      <alignment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7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Border="1" applyAlignment="1">
      <alignment horizontal="center"/>
    </xf>
    <xf numFmtId="2" fontId="0" fillId="0" borderId="94" xfId="0" applyNumberFormat="1" applyBorder="1" applyAlignment="1">
      <alignment horizontal="center"/>
    </xf>
    <xf numFmtId="0" fontId="0" fillId="0" borderId="95" xfId="0" applyFill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0" fontId="0" fillId="2" borderId="62" xfId="0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model-Porosity-Mineralogy'!$D$23:$D$43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model-Porosity-Mineralogy'!$E$23:$E$43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model-Porosity-Mineralogy'!$F$23:$F$43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model-Porosity-Mineralogy'!$G$23:$G$43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model-Porosity-Mineralogy'!$H$23:$H$43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model-Porosity-Mineralogy'!$I$23:$I$43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model-Porosity-Mineralogy'!$J$23:$J$43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model-Porosity-Mineralogy'!$K$23:$K$43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model-Porosity-Mineralogy'!$L$23:$L$43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model-Porosity-Mineralogy'!$M$23:$M$43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model-Porosity-Mineralogy'!$N$23:$N$43</c:f>
              <c:numCache/>
            </c:numRef>
          </c:val>
        </c:ser>
        <c:axId val="27922466"/>
        <c:axId val="49975603"/>
        <c:axId val="47127244"/>
      </c:surface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7922466"/>
        <c:crossesAt val="1"/>
        <c:crossBetween val="midCat"/>
        <c:dispUnits/>
      </c:valAx>
      <c:serAx>
        <c:axId val="4712724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756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765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The Effect of Stacking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1"/>
          <c:w val="0.90575"/>
          <c:h val="0.8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'(4) RC - Porosity-Mineralogy'!$U$9:$U$16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'(4) RC - Porosity-Mineralogy'!$T$9:$T$16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9527339"/>
        <c:axId val="64419460"/>
      </c:scatterChart>
      <c:valAx>
        <c:axId val="295273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No. of Stacks to Achieve RC=0.1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4419460"/>
        <c:crosses val="autoZero"/>
        <c:crossBetween val="midCat"/>
        <c:dispUnits/>
      </c:valAx>
      <c:valAx>
        <c:axId val="64419460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RC for 1 stack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9527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Depth Model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15525"/>
          <c:w val="0.83725"/>
          <c:h val="0.813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RC'!$D$38:$D$47</c:f>
              <c:numCache/>
            </c:numRef>
          </c:xVal>
          <c:yVal>
            <c:numRef>
              <c:f>'(5) Modeled TWT and RC'!$C$38:$C$47</c:f>
              <c:numCache/>
            </c:numRef>
          </c:yVal>
          <c:smooth val="0"/>
        </c:ser>
        <c:axId val="42904229"/>
        <c:axId val="50593742"/>
      </c:scatterChart>
      <c:valAx>
        <c:axId val="42904229"/>
        <c:scaling>
          <c:orientation val="minMax"/>
          <c:max val="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Dielectric Constant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93742"/>
        <c:crosses val="autoZero"/>
        <c:crossBetween val="midCat"/>
        <c:dispUnits/>
        <c:majorUnit val="5"/>
      </c:valAx>
      <c:valAx>
        <c:axId val="505937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904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Model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1475"/>
          <c:w val="0.85775"/>
          <c:h val="0.85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RC'!$D$38:$D$47</c:f>
              <c:numCache/>
            </c:numRef>
          </c:xVal>
          <c:yVal>
            <c:numRef>
              <c:f>'(5) Modeled TWT and RC'!$E$38:$E$47</c:f>
              <c:numCache/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  <c:max val="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Dielectric Constant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2408"/>
        <c:crosses val="autoZero"/>
        <c:crossBetween val="midCat"/>
        <c:dispUnits/>
        <c:majorUnit val="5"/>
      </c:valAx>
      <c:valAx>
        <c:axId val="44524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TWT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690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Reflection Coefficients</a:t>
            </a:r>
          </a:p>
        </c:rich>
      </c:tx>
      <c:layout>
        <c:manualLayout>
          <c:xMode val="factor"/>
          <c:yMode val="factor"/>
          <c:x val="-0.149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725"/>
          <c:w val="0.852"/>
          <c:h val="0.826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RC'!$F$38:$F$47</c:f>
              <c:numCache/>
            </c:numRef>
          </c:xVal>
          <c:yVal>
            <c:numRef>
              <c:f>'(5) Modeled TWT and RC'!$C$38:$C$47</c:f>
              <c:numCache/>
            </c:numRef>
          </c:yVal>
          <c:smooth val="0"/>
        </c:ser>
        <c:axId val="40071673"/>
        <c:axId val="25100738"/>
      </c:scatterChart>
      <c:valAx>
        <c:axId val="40071673"/>
        <c:scaling>
          <c:orientation val="minMax"/>
        </c:scaling>
        <c:axPos val="t"/>
        <c:majorGridlines/>
        <c:delete val="0"/>
        <c:numFmt formatCode="0.00" sourceLinked="0"/>
        <c:majorTickMark val="out"/>
        <c:minorTickMark val="none"/>
        <c:tickLblPos val="nextTo"/>
        <c:crossAx val="25100738"/>
        <c:crosses val="max"/>
        <c:crossBetween val="midCat"/>
        <c:dispUnits/>
      </c:valAx>
      <c:valAx>
        <c:axId val="251007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0716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Reflection Coefficients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95"/>
          <c:w val="0.87225"/>
          <c:h val="0.863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RC'!$F$38:$F$46</c:f>
              <c:numCache/>
            </c:numRef>
          </c:xVal>
          <c:yVal>
            <c:numRef>
              <c:f>'(5) Modeled TWT and RC'!$E$38:$E$46</c:f>
              <c:numCache/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</c:scaling>
        <c:axPos val="t"/>
        <c:majorGridlines/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At val="0"/>
        <c:crossBetween val="midCat"/>
        <c:dispUnits/>
      </c:valAx>
      <c:valAx>
        <c:axId val="1989386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TWT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5800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Vertical Resolution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175"/>
          <c:w val="0.878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'(6) Vertical Resolution'!$H$11</c:f>
              <c:strCache>
                <c:ptCount val="1"/>
                <c:pt idx="0">
                  <c:v>2.5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'(6) Vertical Resolution'!$G$11:$G$14</c:f>
              <c:numCache/>
            </c:numRef>
          </c:xVal>
          <c:yVal>
            <c:numRef>
              <c:f>'(6) Vertical Resolution'!$N$11:$N$14</c:f>
              <c:numCache/>
            </c:numRef>
          </c:yVal>
          <c:smooth val="1"/>
        </c:ser>
        <c:axId val="44827085"/>
        <c:axId val="790582"/>
      </c:scatterChart>
      <c:val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crossBetween val="midCat"/>
        <c:dispUnits/>
      </c:val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Quarter Wavelength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2035"/>
          <c:w val="0.86575"/>
          <c:h val="0.765"/>
        </c:manualLayout>
      </c:layout>
      <c:scatterChart>
        <c:scatterStyle val="line"/>
        <c:varyColors val="0"/>
        <c:ser>
          <c:idx val="0"/>
          <c:order val="0"/>
          <c:tx>
            <c:v>Radius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'(7) Spatial Resolution'!$D$8:$D$10</c:f>
              <c:numCache/>
            </c:numRef>
          </c:xVal>
          <c:yVal>
            <c:numRef>
              <c:f>'(7) Spatial Resolution'!$C$8:$C$10</c:f>
              <c:numCache/>
            </c:numRef>
          </c:yVal>
          <c:smooth val="0"/>
        </c:ser>
        <c:ser>
          <c:idx val="1"/>
          <c:order val="1"/>
          <c:tx>
            <c:v>Radius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'(7) Spatial Resolution'!$E$8:$E$10</c:f>
              <c:numCache/>
            </c:numRef>
          </c:xVal>
          <c:yVal>
            <c:numRef>
              <c:f>'(7) Spatial Resolution'!$C$8:$C$10</c:f>
              <c:numCache/>
            </c:numRef>
          </c:yVal>
          <c:smooth val="0"/>
        </c:ser>
        <c:axId val="7115239"/>
        <c:axId val="64037152"/>
      </c:scatterChart>
      <c:valAx>
        <c:axId val="71152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Radius of Antenna Footprint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crossBetween val="midCat"/>
        <c:dispUnits/>
      </c:valAx>
      <c:valAx>
        <c:axId val="6403715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1325"/>
          <c:w val="0.267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model-Porosity-Mineralogy'!$D$50:$D$70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model-Porosity-Mineralogy'!$E$50:$E$70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model-Porosity-Mineralogy'!$F$50:$F$70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model-Porosity-Mineralogy'!$G$50:$G$70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model-Porosity-Mineralogy'!$H$50:$H$70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model-Porosity-Mineralogy'!$I$50:$I$70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model-Porosity-Mineralogy'!$J$50:$J$70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model-Porosity-Mineralogy'!$K$50:$K$70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model-Porosity-Mineralogy'!$L$50:$L$70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model-Porosity-Mineralogy'!$M$50:$M$70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model-Porosity-Mineralogy'!$N$50:$N$70</c:f>
              <c:numCache/>
            </c:numRef>
          </c:val>
        </c:ser>
        <c:axId val="21492013"/>
        <c:axId val="59210390"/>
        <c:axId val="63131463"/>
      </c:surfaceChart>
      <c:cat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1492013"/>
        <c:crossesAt val="1"/>
        <c:crossBetween val="midCat"/>
        <c:dispUnits/>
      </c:valAx>
      <c:serAx>
        <c:axId val="6313146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2103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806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model-Porosity-Mineralogy'!$D$77:$D$97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model-Porosity-Mineralogy'!$E$77:$E$97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model-Porosity-Mineralogy'!$F$77:$F$97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model-Porosity-Mineralogy'!$G$77:$G$97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model-Porosity-Mineralogy'!$H$77:$H$97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model-Porosity-Mineralogy'!$I$77:$I$97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model-Porosity-Mineralogy'!$J$77:$J$97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model-Porosity-Mineralogy'!$K$77:$K$97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model-Porosity-Mineralogy'!$L$77:$L$97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model-Porosity-Mineralogy'!$M$77:$M$97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model-Porosity-Mineralogy'!$N$77:$N$97</c:f>
              <c:numCache/>
            </c:numRef>
          </c:val>
        </c:ser>
        <c:axId val="31312256"/>
        <c:axId val="13374849"/>
        <c:axId val="53264778"/>
      </c:surfac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1312256"/>
        <c:crossesAt val="1"/>
        <c:crossBetween val="midCat"/>
        <c:dispUnits/>
      </c:valAx>
      <c:serAx>
        <c:axId val="5326477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748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765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7095"/>
          <c:y val="0.04875"/>
          <c:w val="0.2905"/>
          <c:h val="0.888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axId val="9620955"/>
        <c:axId val="19479732"/>
        <c:axId val="41099861"/>
      </c:surfac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9620955"/>
        <c:crossesAt val="1"/>
        <c:crossBetween val="midCat"/>
        <c:dispUnits/>
        <c:majorUnit val="0.05"/>
      </c:valAx>
      <c:serAx>
        <c:axId val="410998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94797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"/>
          <c:y val="0.01525"/>
          <c:w val="0.88"/>
          <c:h val="0.9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44"/>
          <c:w val="0.9975"/>
          <c:h val="0.956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/>
            </c:numRef>
          </c:cat>
          <c:val>
            <c:numRef>
              <c:f>'(3) TP model - Porosity-Sw'!$D$23:$N$23</c:f>
              <c:numCache/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Porosity-Sw'!$D$24:$N$24</c:f>
              <c:numCache/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Porosity-Sw'!$D$25:$N$25</c:f>
              <c:numCache/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Porosity-Sw'!$D$26:$N$26</c:f>
              <c:numCache/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Porosity-Sw'!$D$27:$N$27</c:f>
              <c:numCache/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Porosity-Sw'!$D$28:$N$28</c:f>
              <c:numCache/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Porosity-Sw'!$D$29:$N$29</c:f>
              <c:numCache/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Porosity-Sw'!$D$30:$N$30</c:f>
              <c:numCache/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Porosity-Sw'!$D$31:$N$31</c:f>
              <c:numCache/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Porosity-Sw'!$D$32:$N$32</c:f>
              <c:numCache/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Porosity-Sw'!$D$33:$N$33</c:f>
              <c:numCache/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Porosity-Sw'!$D$34:$N$34</c:f>
              <c:numCache/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Porosity-Sw'!$D$35:$N$35</c:f>
              <c:numCache/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Porosity-Sw'!$D$36:$N$36</c:f>
              <c:numCache/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Porosity-Sw'!$D$37:$N$37</c:f>
              <c:numCache/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Porosity-Sw'!$D$38:$N$38</c:f>
              <c:numCache/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Porosity-Sw'!$D$39:$N$39</c:f>
              <c:numCache/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Porosity-Sw'!$D$40:$N$40</c:f>
              <c:numCache/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Porosity-Sw'!$D$41:$N$41</c:f>
              <c:numCache/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Porosity-Sw'!$D$42:$N$42</c:f>
              <c:numCache/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Porosity-Sw'!$D$43:$N$43</c:f>
              <c:numCache/>
            </c:numRef>
          </c:val>
        </c:ser>
        <c:axId val="34354430"/>
        <c:axId val="40754415"/>
        <c:axId val="31245416"/>
      </c:surface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40754415"/>
        <c:crosses val="autoZero"/>
        <c:auto val="1"/>
        <c:lblOffset val="100"/>
        <c:tickLblSkip val="2"/>
        <c:noMultiLvlLbl val="0"/>
      </c:catAx>
      <c:valAx>
        <c:axId val="40754415"/>
        <c:scaling>
          <c:orientation val="minMax"/>
          <c:max val="30"/>
          <c:min val="2"/>
        </c:scaling>
        <c:axPos val="l"/>
        <c:delete val="1"/>
        <c:majorTickMark val="none"/>
        <c:minorTickMark val="none"/>
        <c:tickLblPos val="none"/>
        <c:crossAx val="34354430"/>
        <c:crossesAt val="1"/>
        <c:crossBetween val="midCat"/>
        <c:dispUnits/>
        <c:majorUnit val="2"/>
        <c:minorUnit val="2"/>
      </c:valAx>
      <c:serAx>
        <c:axId val="3124541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7544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22575"/>
          <c:w val="0.19425"/>
          <c:h val="0.449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5325"/>
          <c:w val="0.99675"/>
          <c:h val="0.94675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Porosity-Sw'!$D$77:$N$77</c:f>
              <c:numCache>
                <c:ptCount val="11"/>
                <c:pt idx="0">
                  <c:v>8.5</c:v>
                </c:pt>
                <c:pt idx="1">
                  <c:v>10.366481935046366</c:v>
                </c:pt>
                <c:pt idx="2">
                  <c:v>12.418071034824695</c:v>
                </c:pt>
                <c:pt idx="3">
                  <c:v>14.65476729933498</c:v>
                </c:pt>
                <c:pt idx="4">
                  <c:v>17.076570728577238</c:v>
                </c:pt>
                <c:pt idx="5">
                  <c:v>19.683481322551447</c:v>
                </c:pt>
                <c:pt idx="6">
                  <c:v>22.47549908125762</c:v>
                </c:pt>
                <c:pt idx="7">
                  <c:v>25.452624004695753</c:v>
                </c:pt>
                <c:pt idx="8">
                  <c:v>28.61485609286585</c:v>
                </c:pt>
                <c:pt idx="9">
                  <c:v>31.962195345767903</c:v>
                </c:pt>
                <c:pt idx="10">
                  <c:v>35.49464176340192</c:v>
                </c:pt>
              </c:numCache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Porosity-Sw'!$D$78:$N$78</c:f>
              <c:numCache>
                <c:ptCount val="11"/>
                <c:pt idx="0">
                  <c:v>8.5</c:v>
                </c:pt>
                <c:pt idx="1">
                  <c:v>10.238093849044304</c:v>
                </c:pt>
                <c:pt idx="2">
                  <c:v>12.137756766610265</c:v>
                </c:pt>
                <c:pt idx="3">
                  <c:v>14.19898875269787</c:v>
                </c:pt>
                <c:pt idx="4">
                  <c:v>16.421789807307135</c:v>
                </c:pt>
                <c:pt idx="5">
                  <c:v>18.806159930438053</c:v>
                </c:pt>
                <c:pt idx="6">
                  <c:v>21.352099122090614</c:v>
                </c:pt>
                <c:pt idx="7">
                  <c:v>24.059607382264833</c:v>
                </c:pt>
                <c:pt idx="8">
                  <c:v>26.9286847109607</c:v>
                </c:pt>
                <c:pt idx="9">
                  <c:v>29.959331108178223</c:v>
                </c:pt>
                <c:pt idx="10">
                  <c:v>33.1515465739174</c:v>
                </c:pt>
              </c:numCache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Porosity-Sw'!$D$79:$N$79</c:f>
              <c:numCache>
                <c:ptCount val="11"/>
                <c:pt idx="0">
                  <c:v>8.5</c:v>
                </c:pt>
                <c:pt idx="1">
                  <c:v>10.11050576304224</c:v>
                </c:pt>
                <c:pt idx="2">
                  <c:v>11.860642498395833</c:v>
                </c:pt>
                <c:pt idx="3">
                  <c:v>13.750410206060762</c:v>
                </c:pt>
                <c:pt idx="4">
                  <c:v>15.779808886037033</c:v>
                </c:pt>
                <c:pt idx="5">
                  <c:v>17.94883853832465</c:v>
                </c:pt>
                <c:pt idx="6">
                  <c:v>20.257499162923615</c:v>
                </c:pt>
                <c:pt idx="7">
                  <c:v>22.705790759833906</c:v>
                </c:pt>
                <c:pt idx="8">
                  <c:v>25.293713329055546</c:v>
                </c:pt>
                <c:pt idx="9">
                  <c:v>28.02126687058854</c:v>
                </c:pt>
                <c:pt idx="10">
                  <c:v>30.88845138443287</c:v>
                </c:pt>
              </c:numCache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Porosity-Sw'!$D$80:$N$80</c:f>
              <c:numCache>
                <c:ptCount val="11"/>
                <c:pt idx="0">
                  <c:v>8.5</c:v>
                </c:pt>
                <c:pt idx="1">
                  <c:v>9.98371767704018</c:v>
                </c:pt>
                <c:pt idx="2">
                  <c:v>11.586728230181405</c:v>
                </c:pt>
                <c:pt idx="3">
                  <c:v>13.30903165942365</c:v>
                </c:pt>
                <c:pt idx="4">
                  <c:v>15.150627964766933</c:v>
                </c:pt>
                <c:pt idx="5">
                  <c:v>17.11151714621125</c:v>
                </c:pt>
                <c:pt idx="6">
                  <c:v>19.191699203756603</c:v>
                </c:pt>
                <c:pt idx="7">
                  <c:v>21.391174137402988</c:v>
                </c:pt>
                <c:pt idx="8">
                  <c:v>23.709941947150398</c:v>
                </c:pt>
                <c:pt idx="9">
                  <c:v>26.14800263299885</c:v>
                </c:pt>
                <c:pt idx="10">
                  <c:v>28.705356194948337</c:v>
                </c:pt>
              </c:numCache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Porosity-Sw'!$D$81:$N$81</c:f>
              <c:numCache>
                <c:ptCount val="11"/>
                <c:pt idx="0">
                  <c:v>8.5</c:v>
                </c:pt>
                <c:pt idx="1">
                  <c:v>9.85772959103812</c:v>
                </c:pt>
                <c:pt idx="2">
                  <c:v>11.316013961966972</c:v>
                </c:pt>
                <c:pt idx="3">
                  <c:v>12.87485311278654</c:v>
                </c:pt>
                <c:pt idx="4">
                  <c:v>14.534247043496837</c:v>
                </c:pt>
                <c:pt idx="5">
                  <c:v>16.294195754097853</c:v>
                </c:pt>
                <c:pt idx="6">
                  <c:v>18.154699244589594</c:v>
                </c:pt>
                <c:pt idx="7">
                  <c:v>20.115757514972067</c:v>
                </c:pt>
                <c:pt idx="8">
                  <c:v>22.177370565245255</c:v>
                </c:pt>
                <c:pt idx="9">
                  <c:v>24.339538395409168</c:v>
                </c:pt>
                <c:pt idx="10">
                  <c:v>26.602261005463802</c:v>
                </c:pt>
              </c:numCache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Porosity-Sw'!$D$82:$N$82</c:f>
              <c:numCache>
                <c:ptCount val="11"/>
                <c:pt idx="0">
                  <c:v>8.5</c:v>
                </c:pt>
                <c:pt idx="1">
                  <c:v>9.732541505036062</c:v>
                </c:pt>
                <c:pt idx="2">
                  <c:v>11.04849969375254</c:v>
                </c:pt>
                <c:pt idx="3">
                  <c:v>12.447874566149434</c:v>
                </c:pt>
                <c:pt idx="4">
                  <c:v>13.930666122226738</c:v>
                </c:pt>
                <c:pt idx="5">
                  <c:v>15.49687436198446</c:v>
                </c:pt>
                <c:pt idx="6">
                  <c:v>17.14649928542259</c:v>
                </c:pt>
                <c:pt idx="7">
                  <c:v>18.879540892541147</c:v>
                </c:pt>
                <c:pt idx="8">
                  <c:v>20.6959991833401</c:v>
                </c:pt>
                <c:pt idx="9">
                  <c:v>22.595874157819487</c:v>
                </c:pt>
                <c:pt idx="10">
                  <c:v>24.579165815979273</c:v>
                </c:pt>
              </c:numCache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Porosity-Sw'!$D$83:$N$83</c:f>
              <c:numCache>
                <c:ptCount val="11"/>
                <c:pt idx="0">
                  <c:v>8.5</c:v>
                </c:pt>
                <c:pt idx="1">
                  <c:v>9.608153419034002</c:v>
                </c:pt>
                <c:pt idx="2">
                  <c:v>10.784185425538109</c:v>
                </c:pt>
                <c:pt idx="3">
                  <c:v>12.028096019512319</c:v>
                </c:pt>
                <c:pt idx="4">
                  <c:v>13.33988520095664</c:v>
                </c:pt>
                <c:pt idx="5">
                  <c:v>14.719552969871065</c:v>
                </c:pt>
                <c:pt idx="6">
                  <c:v>16.16709932625558</c:v>
                </c:pt>
                <c:pt idx="7">
                  <c:v>17.68252427011023</c:v>
                </c:pt>
                <c:pt idx="8">
                  <c:v>19.265827801434963</c:v>
                </c:pt>
                <c:pt idx="9">
                  <c:v>20.917009920229795</c:v>
                </c:pt>
                <c:pt idx="10">
                  <c:v>22.63607062649475</c:v>
                </c:pt>
              </c:numCache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Porosity-Sw'!$D$84:$N$84</c:f>
              <c:numCache>
                <c:ptCount val="11"/>
                <c:pt idx="0">
                  <c:v>8.5</c:v>
                </c:pt>
                <c:pt idx="1">
                  <c:v>9.48456533303194</c:v>
                </c:pt>
                <c:pt idx="2">
                  <c:v>10.523071157323681</c:v>
                </c:pt>
                <c:pt idx="3">
                  <c:v>11.615517472875212</c:v>
                </c:pt>
                <c:pt idx="4">
                  <c:v>12.761904279686538</c:v>
                </c:pt>
                <c:pt idx="5">
                  <c:v>13.962231577757667</c:v>
                </c:pt>
                <c:pt idx="6">
                  <c:v>15.21649936708858</c:v>
                </c:pt>
                <c:pt idx="7">
                  <c:v>16.524707647679293</c:v>
                </c:pt>
                <c:pt idx="8">
                  <c:v>17.886856419529806</c:v>
                </c:pt>
                <c:pt idx="9">
                  <c:v>19.302945682640114</c:v>
                </c:pt>
                <c:pt idx="10">
                  <c:v>20.772975437010217</c:v>
                </c:pt>
              </c:numCache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Porosity-Sw'!$D$85:$N$85</c:f>
              <c:numCache>
                <c:ptCount val="11"/>
                <c:pt idx="0">
                  <c:v>8.5</c:v>
                </c:pt>
                <c:pt idx="1">
                  <c:v>9.36177724702988</c:v>
                </c:pt>
                <c:pt idx="2">
                  <c:v>10.26515688910925</c:v>
                </c:pt>
                <c:pt idx="3">
                  <c:v>11.2101389262381</c:v>
                </c:pt>
                <c:pt idx="4">
                  <c:v>12.196723358416442</c:v>
                </c:pt>
                <c:pt idx="5">
                  <c:v>13.224910185644264</c:v>
                </c:pt>
                <c:pt idx="6">
                  <c:v>14.294699407921577</c:v>
                </c:pt>
                <c:pt idx="7">
                  <c:v>15.406091025248378</c:v>
                </c:pt>
                <c:pt idx="8">
                  <c:v>16.559085037624662</c:v>
                </c:pt>
                <c:pt idx="9">
                  <c:v>17.753681445050432</c:v>
                </c:pt>
                <c:pt idx="10">
                  <c:v>18.989880247525686</c:v>
                </c:pt>
              </c:numCache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Porosity-Sw'!$D$86:$N$86</c:f>
              <c:numCache>
                <c:ptCount val="11"/>
                <c:pt idx="0">
                  <c:v>8.5</c:v>
                </c:pt>
                <c:pt idx="1">
                  <c:v>9.239789161027819</c:v>
                </c:pt>
                <c:pt idx="2">
                  <c:v>10.01044262089482</c:v>
                </c:pt>
                <c:pt idx="3">
                  <c:v>10.81196037960099</c:v>
                </c:pt>
                <c:pt idx="4">
                  <c:v>11.644342437146339</c:v>
                </c:pt>
                <c:pt idx="5">
                  <c:v>12.507588793530866</c:v>
                </c:pt>
                <c:pt idx="6">
                  <c:v>13.401699448754572</c:v>
                </c:pt>
                <c:pt idx="7">
                  <c:v>14.326674402817453</c:v>
                </c:pt>
                <c:pt idx="8">
                  <c:v>15.282513655719509</c:v>
                </c:pt>
                <c:pt idx="9">
                  <c:v>16.26921720746074</c:v>
                </c:pt>
                <c:pt idx="10">
                  <c:v>17.286785058041154</c:v>
                </c:pt>
              </c:numCache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Porosity-Sw'!$D$87:$N$87</c:f>
              <c:numCache>
                <c:ptCount val="11"/>
                <c:pt idx="0">
                  <c:v>8.5</c:v>
                </c:pt>
                <c:pt idx="1">
                  <c:v>9.118601075025758</c:v>
                </c:pt>
                <c:pt idx="2">
                  <c:v>9.758928352680387</c:v>
                </c:pt>
                <c:pt idx="3">
                  <c:v>10.42098183296388</c:v>
                </c:pt>
                <c:pt idx="4">
                  <c:v>11.104761515876241</c:v>
                </c:pt>
                <c:pt idx="5">
                  <c:v>11.810267401417471</c:v>
                </c:pt>
                <c:pt idx="6">
                  <c:v>12.537499489587562</c:v>
                </c:pt>
                <c:pt idx="7">
                  <c:v>13.286457780386527</c:v>
                </c:pt>
                <c:pt idx="8">
                  <c:v>14.057142273814362</c:v>
                </c:pt>
                <c:pt idx="9">
                  <c:v>14.849552969871063</c:v>
                </c:pt>
                <c:pt idx="10">
                  <c:v>15.663689868556625</c:v>
                </c:pt>
              </c:numCache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Porosity-Sw'!$D$88:$N$88</c:f>
              <c:numCache>
                <c:ptCount val="11"/>
                <c:pt idx="0">
                  <c:v>8.5</c:v>
                </c:pt>
                <c:pt idx="1">
                  <c:v>8.998212989023697</c:v>
                </c:pt>
                <c:pt idx="2">
                  <c:v>9.510614084465956</c:v>
                </c:pt>
                <c:pt idx="3">
                  <c:v>10.037203286326768</c:v>
                </c:pt>
                <c:pt idx="4">
                  <c:v>10.577980594606142</c:v>
                </c:pt>
                <c:pt idx="5">
                  <c:v>11.132946009304076</c:v>
                </c:pt>
                <c:pt idx="6">
                  <c:v>11.70209953042056</c:v>
                </c:pt>
                <c:pt idx="7">
                  <c:v>12.285441157955606</c:v>
                </c:pt>
                <c:pt idx="8">
                  <c:v>12.882970891909213</c:v>
                </c:pt>
                <c:pt idx="9">
                  <c:v>13.494688732281379</c:v>
                </c:pt>
                <c:pt idx="10">
                  <c:v>14.120594679072095</c:v>
                </c:pt>
              </c:numCache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Porosity-Sw'!$D$89:$N$89</c:f>
              <c:numCache>
                <c:ptCount val="11"/>
                <c:pt idx="0">
                  <c:v>8.5</c:v>
                </c:pt>
                <c:pt idx="1">
                  <c:v>8.878624903021636</c:v>
                </c:pt>
                <c:pt idx="2">
                  <c:v>9.265499816251525</c:v>
                </c:pt>
                <c:pt idx="3">
                  <c:v>9.660624739689657</c:v>
                </c:pt>
                <c:pt idx="4">
                  <c:v>10.063999673336046</c:v>
                </c:pt>
                <c:pt idx="5">
                  <c:v>10.475624617190675</c:v>
                </c:pt>
                <c:pt idx="6">
                  <c:v>10.895499571253557</c:v>
                </c:pt>
                <c:pt idx="7">
                  <c:v>11.323624535524687</c:v>
                </c:pt>
                <c:pt idx="8">
                  <c:v>11.759999510004063</c:v>
                </c:pt>
                <c:pt idx="9">
                  <c:v>12.204624494691691</c:v>
                </c:pt>
                <c:pt idx="10">
                  <c:v>12.657499489587567</c:v>
                </c:pt>
              </c:numCache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Porosity-Sw'!$D$90:$N$90</c:f>
              <c:numCache>
                <c:ptCount val="11"/>
                <c:pt idx="0">
                  <c:v>8.5</c:v>
                </c:pt>
                <c:pt idx="1">
                  <c:v>8.759836817019577</c:v>
                </c:pt>
                <c:pt idx="2">
                  <c:v>9.023585548037094</c:v>
                </c:pt>
                <c:pt idx="3">
                  <c:v>9.291246193052551</c:v>
                </c:pt>
                <c:pt idx="4">
                  <c:v>9.562818752065946</c:v>
                </c:pt>
                <c:pt idx="5">
                  <c:v>9.83830322507728</c:v>
                </c:pt>
                <c:pt idx="6">
                  <c:v>10.117699612086549</c:v>
                </c:pt>
                <c:pt idx="7">
                  <c:v>10.401007913093764</c:v>
                </c:pt>
                <c:pt idx="8">
                  <c:v>10.688228128098913</c:v>
                </c:pt>
                <c:pt idx="9">
                  <c:v>10.979360257102007</c:v>
                </c:pt>
                <c:pt idx="10">
                  <c:v>11.274404300103035</c:v>
                </c:pt>
              </c:numCache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Porosity-Sw'!$D$91:$N$91</c:f>
              <c:numCache>
                <c:ptCount val="11"/>
                <c:pt idx="0">
                  <c:v>8.5</c:v>
                </c:pt>
                <c:pt idx="1">
                  <c:v>8.641848731017514</c:v>
                </c:pt>
                <c:pt idx="2">
                  <c:v>8.784871279822664</c:v>
                </c:pt>
                <c:pt idx="3">
                  <c:v>8.929067646415437</c:v>
                </c:pt>
                <c:pt idx="4">
                  <c:v>9.074437830795846</c:v>
                </c:pt>
                <c:pt idx="5">
                  <c:v>9.22098183296388</c:v>
                </c:pt>
                <c:pt idx="6">
                  <c:v>9.368699652919545</c:v>
                </c:pt>
                <c:pt idx="7">
                  <c:v>9.51759129066284</c:v>
                </c:pt>
                <c:pt idx="8">
                  <c:v>9.667656746193769</c:v>
                </c:pt>
                <c:pt idx="9">
                  <c:v>9.818896019512321</c:v>
                </c:pt>
                <c:pt idx="10">
                  <c:v>9.971309110618506</c:v>
                </c:pt>
              </c:numCache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Porosity-Sw'!$D$92:$N$92</c:f>
              <c:numCache>
                <c:ptCount val="11"/>
                <c:pt idx="0">
                  <c:v>8.5</c:v>
                </c:pt>
                <c:pt idx="1">
                  <c:v>8.524660645015453</c:v>
                </c:pt>
                <c:pt idx="2">
                  <c:v>8.549357011608235</c:v>
                </c:pt>
                <c:pt idx="3">
                  <c:v>8.574089099778327</c:v>
                </c:pt>
                <c:pt idx="4">
                  <c:v>8.598856909525747</c:v>
                </c:pt>
                <c:pt idx="5">
                  <c:v>8.623660440850484</c:v>
                </c:pt>
                <c:pt idx="6">
                  <c:v>8.64849969375254</c:v>
                </c:pt>
                <c:pt idx="7">
                  <c:v>8.67337466823192</c:v>
                </c:pt>
                <c:pt idx="8">
                  <c:v>8.698285364288616</c:v>
                </c:pt>
                <c:pt idx="9">
                  <c:v>8.723231781922635</c:v>
                </c:pt>
                <c:pt idx="10">
                  <c:v>8.748213921133976</c:v>
                </c:pt>
              </c:numCache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Porosity-Sw'!$D$93:$N$93</c:f>
              <c:numCache>
                <c:ptCount val="11"/>
                <c:pt idx="0">
                  <c:v>8.5</c:v>
                </c:pt>
                <c:pt idx="1">
                  <c:v>8.408272559013392</c:v>
                </c:pt>
                <c:pt idx="2">
                  <c:v>8.317042743393804</c:v>
                </c:pt>
                <c:pt idx="3">
                  <c:v>8.226310553141218</c:v>
                </c:pt>
                <c:pt idx="4">
                  <c:v>8.136075988255646</c:v>
                </c:pt>
                <c:pt idx="5">
                  <c:v>8.046339048737089</c:v>
                </c:pt>
                <c:pt idx="6">
                  <c:v>7.957099734585536</c:v>
                </c:pt>
                <c:pt idx="7">
                  <c:v>7.868358045800999</c:v>
                </c:pt>
                <c:pt idx="8">
                  <c:v>7.780113982383467</c:v>
                </c:pt>
                <c:pt idx="9">
                  <c:v>7.69236754433295</c:v>
                </c:pt>
                <c:pt idx="10">
                  <c:v>7.605118731649445</c:v>
                </c:pt>
              </c:numCache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Porosity-Sw'!$D$94:$N$94</c:f>
              <c:numCache>
                <c:ptCount val="11"/>
                <c:pt idx="0">
                  <c:v>8.5</c:v>
                </c:pt>
                <c:pt idx="1">
                  <c:v>8.292684473011333</c:v>
                </c:pt>
                <c:pt idx="2">
                  <c:v>8.08792847517937</c:v>
                </c:pt>
                <c:pt idx="3">
                  <c:v>7.885732006504107</c:v>
                </c:pt>
                <c:pt idx="4">
                  <c:v>7.686095066985547</c:v>
                </c:pt>
                <c:pt idx="5">
                  <c:v>7.4890176566236875</c:v>
                </c:pt>
                <c:pt idx="6">
                  <c:v>7.294499775418527</c:v>
                </c:pt>
                <c:pt idx="7">
                  <c:v>7.102541423370074</c:v>
                </c:pt>
                <c:pt idx="8">
                  <c:v>6.913142600478319</c:v>
                </c:pt>
                <c:pt idx="9">
                  <c:v>6.726303306743267</c:v>
                </c:pt>
                <c:pt idx="10">
                  <c:v>6.542023542164914</c:v>
                </c:pt>
              </c:numCache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Porosity-Sw'!$D$95:$N$95</c:f>
              <c:numCache>
                <c:ptCount val="11"/>
                <c:pt idx="0">
                  <c:v>8.5</c:v>
                </c:pt>
                <c:pt idx="1">
                  <c:v>8.177896387009271</c:v>
                </c:pt>
                <c:pt idx="2">
                  <c:v>7.86201420696494</c:v>
                </c:pt>
                <c:pt idx="3">
                  <c:v>7.552353459866994</c:v>
                </c:pt>
                <c:pt idx="4">
                  <c:v>7.24891414571545</c:v>
                </c:pt>
                <c:pt idx="5">
                  <c:v>6.951696264510292</c:v>
                </c:pt>
                <c:pt idx="6">
                  <c:v>6.660699816251523</c:v>
                </c:pt>
                <c:pt idx="7">
                  <c:v>6.375924800939151</c:v>
                </c:pt>
                <c:pt idx="8">
                  <c:v>6.09737121857317</c:v>
                </c:pt>
                <c:pt idx="9">
                  <c:v>5.825039069153584</c:v>
                </c:pt>
                <c:pt idx="10">
                  <c:v>5.558928352680385</c:v>
                </c:pt>
              </c:numCache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Porosity-Sw'!$D$96:$N$96</c:f>
              <c:numCache>
                <c:ptCount val="11"/>
                <c:pt idx="0">
                  <c:v>8.5</c:v>
                </c:pt>
                <c:pt idx="1">
                  <c:v>8.06390830100721</c:v>
                </c:pt>
                <c:pt idx="2">
                  <c:v>7.6392999387505105</c:v>
                </c:pt>
                <c:pt idx="3">
                  <c:v>7.226174913229887</c:v>
                </c:pt>
                <c:pt idx="4">
                  <c:v>6.824533224445347</c:v>
                </c:pt>
                <c:pt idx="5">
                  <c:v>6.434374872396892</c:v>
                </c:pt>
                <c:pt idx="6">
                  <c:v>6.055699857084518</c:v>
                </c:pt>
                <c:pt idx="7">
                  <c:v>5.68850817850823</c:v>
                </c:pt>
                <c:pt idx="8">
                  <c:v>5.332799836668021</c:v>
                </c:pt>
                <c:pt idx="9">
                  <c:v>4.988574831563896</c:v>
                </c:pt>
                <c:pt idx="10">
                  <c:v>4.655833163195856</c:v>
                </c:pt>
              </c:numCache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Porosity-Sw'!$D$97:$N$97</c:f>
              <c:numCache>
                <c:ptCount val="11"/>
                <c:pt idx="0">
                  <c:v>8.5</c:v>
                </c:pt>
                <c:pt idx="1">
                  <c:v>7.95072021500515</c:v>
                </c:pt>
                <c:pt idx="2">
                  <c:v>7.41978567053608</c:v>
                </c:pt>
                <c:pt idx="3">
                  <c:v>6.907196366592776</c:v>
                </c:pt>
                <c:pt idx="4">
                  <c:v>6.41295230317525</c:v>
                </c:pt>
                <c:pt idx="5">
                  <c:v>5.937053480283495</c:v>
                </c:pt>
                <c:pt idx="6">
                  <c:v>5.4794998979175125</c:v>
                </c:pt>
                <c:pt idx="7">
                  <c:v>5.040291556077307</c:v>
                </c:pt>
                <c:pt idx="8">
                  <c:v>4.619428454762873</c:v>
                </c:pt>
                <c:pt idx="9">
                  <c:v>4.216910593974212</c:v>
                </c:pt>
                <c:pt idx="10">
                  <c:v>3.832737973711325</c:v>
                </c:pt>
              </c:numCache>
            </c:numRef>
          </c:val>
        </c:ser>
        <c:axId val="12773289"/>
        <c:axId val="47850738"/>
        <c:axId val="28003459"/>
      </c:surface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47850738"/>
        <c:crosses val="autoZero"/>
        <c:auto val="1"/>
        <c:lblOffset val="100"/>
        <c:tickLblSkip val="2"/>
        <c:noMultiLvlLbl val="0"/>
      </c:catAx>
      <c:valAx>
        <c:axId val="47850738"/>
        <c:scaling>
          <c:orientation val="minMax"/>
          <c:max val="38"/>
          <c:min val="2"/>
        </c:scaling>
        <c:axPos val="l"/>
        <c:delete val="0"/>
        <c:numFmt formatCode="General" sourceLinked="1"/>
        <c:majorTickMark val="none"/>
        <c:minorTickMark val="none"/>
        <c:tickLblPos val="none"/>
        <c:crossAx val="12773289"/>
        <c:crossesAt val="1"/>
        <c:crossBetween val="midCat"/>
        <c:dispUnits/>
        <c:majorUnit val="2"/>
        <c:minorUnit val="2"/>
      </c:valAx>
      <c:serAx>
        <c:axId val="28003459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8507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34825"/>
          <c:w val="0.28925"/>
          <c:h val="0.5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5425"/>
          <c:w val="0.99775"/>
          <c:h val="0.94575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/>
            </c:numRef>
          </c:cat>
          <c:val>
            <c:numRef>
              <c:f>'(3) TP model - Porosity-Sw'!$D$50:$N$50</c:f>
              <c:numCache/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Porosity-Sw'!$D$51:$N$51</c:f>
              <c:numCache/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Porosity-Sw'!$D$52:$N$52</c:f>
              <c:numCache/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Porosity-Sw'!$D$53:$N$53</c:f>
              <c:numCache/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Porosity-Sw'!$D$54:$N$54</c:f>
              <c:numCache/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Porosity-Sw'!$D$55:$N$55</c:f>
              <c:numCache/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Porosity-Sw'!$D$56:$N$56</c:f>
              <c:numCache/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Porosity-Sw'!$D$57:$N$57</c:f>
              <c:numCache/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Porosity-Sw'!$D$58:$N$58</c:f>
              <c:numCache/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Porosity-Sw'!$D$59:$N$59</c:f>
              <c:numCache/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Porosity-Sw'!$D$60:$N$60</c:f>
              <c:numCache/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Porosity-Sw'!$D$61:$N$61</c:f>
              <c:numCache/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Porosity-Sw'!$D$62:$N$62</c:f>
              <c:numCache/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Porosity-Sw'!$D$63:$N$63</c:f>
              <c:numCache/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Porosity-Sw'!$D$64:$N$64</c:f>
              <c:numCache/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Porosity-Sw'!$D$65:$N$65</c:f>
              <c:numCache/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Porosity-Sw'!$D$66:$N$66</c:f>
              <c:numCache/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Porosity-Sw'!$D$67:$N$67</c:f>
              <c:numCache/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Porosity-Sw'!$D$68:$N$68</c:f>
              <c:numCache/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Porosity-Sw'!$D$69:$N$69</c:f>
              <c:numCache/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Porosity-Sw'!$D$70:$N$70</c:f>
              <c:numCache/>
            </c:numRef>
          </c:val>
        </c:ser>
        <c:axId val="50704540"/>
        <c:axId val="53687677"/>
        <c:axId val="13427046"/>
      </c:surface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53687677"/>
        <c:crosses val="autoZero"/>
        <c:auto val="1"/>
        <c:lblOffset val="100"/>
        <c:tickLblSkip val="2"/>
        <c:noMultiLvlLbl val="0"/>
      </c:catAx>
      <c:valAx>
        <c:axId val="53687677"/>
        <c:scaling>
          <c:orientation val="minMax"/>
          <c:max val="34"/>
          <c:min val="2"/>
        </c:scaling>
        <c:axPos val="l"/>
        <c:delete val="0"/>
        <c:numFmt formatCode="General" sourceLinked="1"/>
        <c:majorTickMark val="none"/>
        <c:minorTickMark val="none"/>
        <c:tickLblPos val="none"/>
        <c:crossAx val="50704540"/>
        <c:crossesAt val="1"/>
        <c:crossBetween val="midCat"/>
        <c:dispUnits/>
        <c:majorUnit val="2"/>
        <c:minorUnit val="2"/>
      </c:valAx>
      <c:serAx>
        <c:axId val="13427046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6876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34825"/>
          <c:w val="0.191"/>
          <c:h val="0.5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Reflection Coefficients vs Porosity</a:t>
            </a:r>
          </a:p>
        </c:rich>
      </c:tx>
      <c:layout>
        <c:manualLayout>
          <c:xMode val="factor"/>
          <c:yMode val="factor"/>
          <c:x val="0.05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5875"/>
          <c:w val="0.91625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v>Water Saturated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'(4) RC - Porosity-Mineralogy'!$F$9:$F$19</c:f>
              <c:numCache/>
            </c:numRef>
          </c:xVal>
          <c:yVal>
            <c:numRef>
              <c:f>'(4) RC - Porosity-Mineralogy'!$I$9:$I$19</c:f>
              <c:numCache/>
            </c:numRef>
          </c:yVal>
          <c:smooth val="1"/>
        </c:ser>
        <c:ser>
          <c:idx val="1"/>
          <c:order val="1"/>
          <c:tx>
            <c:v>Dry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'(4) RC - Porosity-Mineralogy'!$B$9:$B$19</c:f>
              <c:numCache/>
            </c:numRef>
          </c:xVal>
          <c:yVal>
            <c:numRef>
              <c:f>'(4) RC - Porosity-Mineralogy'!$E$9:$E$19</c:f>
              <c:numCache/>
            </c:numRef>
          </c:yVal>
          <c:smooth val="1"/>
        </c:ser>
        <c:axId val="53734551"/>
        <c:axId val="13848912"/>
      </c:scatterChart>
      <c:valAx>
        <c:axId val="5373455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 Difference (Porosity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3848912"/>
        <c:crosses val="autoZero"/>
        <c:crossBetween val="midCat"/>
        <c:dispUnits/>
        <c:majorUnit val="5"/>
        <c:minorUnit val="5"/>
      </c:val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Reflection Coefficient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373455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1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Reflection Coefficients vs Mineralogy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59"/>
          <c:w val="0.927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v>Water Saturated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'(4) RC - Porosity-Mineralogy'!$O$9:$O$19</c:f>
              <c:numCache/>
            </c:numRef>
          </c:xVal>
          <c:yVal>
            <c:numRef>
              <c:f>'(4) RC - Porosity-Mineralogy'!$R$9:$R$19</c:f>
              <c:numCache/>
            </c:numRef>
          </c:yVal>
          <c:smooth val="1"/>
        </c:ser>
        <c:ser>
          <c:idx val="1"/>
          <c:order val="1"/>
          <c:tx>
            <c:v>Dry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'(4) RC - Porosity-Mineralogy'!$K$9:$K$19</c:f>
              <c:numCache/>
            </c:numRef>
          </c:xVal>
          <c:yVal>
            <c:numRef>
              <c:f>'(4) RC - Porosity-Mineralogy'!$N$9:$N$19</c:f>
              <c:numCache/>
            </c:numRef>
          </c:yVal>
          <c:smooth val="1"/>
        </c:ser>
        <c:axId val="57531345"/>
        <c:axId val="48020058"/>
      </c:scatterChart>
      <c:valAx>
        <c:axId val="575313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Percent of Mineral #1 in Lower Layer Matrix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8020058"/>
        <c:crosses val="autoZero"/>
        <c:crossBetween val="midCat"/>
        <c:dispUnits/>
        <c:majorUnit val="10"/>
        <c:minorUnit val="5"/>
      </c:valAx>
      <c:valAx>
        <c:axId val="4802005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Reflection Coefficient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753134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1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21</xdr:row>
      <xdr:rowOff>104775</xdr:rowOff>
    </xdr:from>
    <xdr:to>
      <xdr:col>24</xdr:col>
      <xdr:colOff>247650</xdr:colOff>
      <xdr:row>42</xdr:row>
      <xdr:rowOff>123825</xdr:rowOff>
    </xdr:to>
    <xdr:graphicFrame>
      <xdr:nvGraphicFramePr>
        <xdr:cNvPr id="1" name="Chart 10"/>
        <xdr:cNvGraphicFramePr/>
      </xdr:nvGraphicFramePr>
      <xdr:xfrm>
        <a:off x="8924925" y="3829050"/>
        <a:ext cx="6238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47</xdr:row>
      <xdr:rowOff>85725</xdr:rowOff>
    </xdr:from>
    <xdr:to>
      <xdr:col>24</xdr:col>
      <xdr:colOff>285750</xdr:colOff>
      <xdr:row>68</xdr:row>
      <xdr:rowOff>95250</xdr:rowOff>
    </xdr:to>
    <xdr:graphicFrame>
      <xdr:nvGraphicFramePr>
        <xdr:cNvPr id="2" name="Chart 11"/>
        <xdr:cNvGraphicFramePr/>
      </xdr:nvGraphicFramePr>
      <xdr:xfrm>
        <a:off x="8963025" y="8058150"/>
        <a:ext cx="62388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74</xdr:row>
      <xdr:rowOff>85725</xdr:rowOff>
    </xdr:from>
    <xdr:to>
      <xdr:col>24</xdr:col>
      <xdr:colOff>400050</xdr:colOff>
      <xdr:row>95</xdr:row>
      <xdr:rowOff>95250</xdr:rowOff>
    </xdr:to>
    <xdr:graphicFrame>
      <xdr:nvGraphicFramePr>
        <xdr:cNvPr id="3" name="Chart 12"/>
        <xdr:cNvGraphicFramePr/>
      </xdr:nvGraphicFramePr>
      <xdr:xfrm>
        <a:off x="9077325" y="12477750"/>
        <a:ext cx="62388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95250</xdr:rowOff>
    </xdr:from>
    <xdr:to>
      <xdr:col>0</xdr:col>
      <xdr:colOff>276225</xdr:colOff>
      <xdr:row>121</xdr:row>
      <xdr:rowOff>47625</xdr:rowOff>
    </xdr:to>
    <xdr:graphicFrame>
      <xdr:nvGraphicFramePr>
        <xdr:cNvPr id="1" name="Chart 1"/>
        <xdr:cNvGraphicFramePr/>
      </xdr:nvGraphicFramePr>
      <xdr:xfrm>
        <a:off x="0" y="18345150"/>
        <a:ext cx="276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10</xdr:row>
      <xdr:rowOff>104775</xdr:rowOff>
    </xdr:from>
    <xdr:to>
      <xdr:col>21</xdr:col>
      <xdr:colOff>523875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9886950" y="1971675"/>
        <a:ext cx="45339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 fPrintsWithSheet="0"/>
  </xdr:twoCellAnchor>
  <xdr:twoCellAnchor>
    <xdr:from>
      <xdr:col>14</xdr:col>
      <xdr:colOff>219075</xdr:colOff>
      <xdr:row>73</xdr:row>
      <xdr:rowOff>161925</xdr:rowOff>
    </xdr:from>
    <xdr:to>
      <xdr:col>19</xdr:col>
      <xdr:colOff>238125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9848850" y="12372975"/>
        <a:ext cx="30670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46</xdr:row>
      <xdr:rowOff>47625</xdr:rowOff>
    </xdr:from>
    <xdr:to>
      <xdr:col>21</xdr:col>
      <xdr:colOff>466725</xdr:colOff>
      <xdr:row>70</xdr:row>
      <xdr:rowOff>104775</xdr:rowOff>
    </xdr:to>
    <xdr:graphicFrame>
      <xdr:nvGraphicFramePr>
        <xdr:cNvPr id="4" name="Chart 4"/>
        <xdr:cNvGraphicFramePr/>
      </xdr:nvGraphicFramePr>
      <xdr:xfrm>
        <a:off x="9753600" y="7839075"/>
        <a:ext cx="46101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7</xdr:col>
      <xdr:colOff>523875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61925" y="34099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20</xdr:row>
      <xdr:rowOff>9525</xdr:rowOff>
    </xdr:from>
    <xdr:to>
      <xdr:col>16</xdr:col>
      <xdr:colOff>447675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5495925" y="3409950"/>
        <a:ext cx="41910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123825</xdr:colOff>
      <xdr:row>8</xdr:row>
      <xdr:rowOff>142875</xdr:rowOff>
    </xdr:from>
    <xdr:to>
      <xdr:col>28</xdr:col>
      <xdr:colOff>85725</xdr:colOff>
      <xdr:row>30</xdr:row>
      <xdr:rowOff>47625</xdr:rowOff>
    </xdr:to>
    <xdr:graphicFrame>
      <xdr:nvGraphicFramePr>
        <xdr:cNvPr id="3" name="Chart 3"/>
        <xdr:cNvGraphicFramePr/>
      </xdr:nvGraphicFramePr>
      <xdr:xfrm>
        <a:off x="12411075" y="1562100"/>
        <a:ext cx="422910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609600" y="2552700"/>
        <a:ext cx="2419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523875</xdr:colOff>
      <xdr:row>14</xdr:row>
      <xdr:rowOff>9525</xdr:rowOff>
    </xdr:from>
    <xdr:to>
      <xdr:col>13</xdr:col>
      <xdr:colOff>419100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6038850" y="2552700"/>
        <a:ext cx="2676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14</xdr:row>
      <xdr:rowOff>0</xdr:rowOff>
    </xdr:from>
    <xdr:to>
      <xdr:col>9</xdr:col>
      <xdr:colOff>200025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3076575" y="2543175"/>
        <a:ext cx="2638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514350</xdr:colOff>
      <xdr:row>14</xdr:row>
      <xdr:rowOff>0</xdr:rowOff>
    </xdr:from>
    <xdr:to>
      <xdr:col>17</xdr:col>
      <xdr:colOff>552450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8810625" y="2543175"/>
        <a:ext cx="24765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15</xdr:row>
      <xdr:rowOff>114300</xdr:rowOff>
    </xdr:from>
    <xdr:to>
      <xdr:col>13</xdr:col>
      <xdr:colOff>600075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153025" y="2609850"/>
        <a:ext cx="50006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5</xdr:row>
      <xdr:rowOff>38100</xdr:rowOff>
    </xdr:from>
    <xdr:to>
      <xdr:col>10</xdr:col>
      <xdr:colOff>19050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28925" y="962025"/>
        <a:ext cx="29051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7.00390625" style="0" bestFit="1" customWidth="1"/>
  </cols>
  <sheetData>
    <row r="1" ht="12.75">
      <c r="A1" s="2" t="s">
        <v>136</v>
      </c>
    </row>
    <row r="2" ht="12.75">
      <c r="A2" s="2" t="s">
        <v>129</v>
      </c>
    </row>
    <row r="3" ht="12.75">
      <c r="A3" s="2" t="s">
        <v>138</v>
      </c>
    </row>
    <row r="5" ht="12.75">
      <c r="A5" s="2" t="s">
        <v>130</v>
      </c>
    </row>
    <row r="6" ht="12.75">
      <c r="A6" s="2" t="s">
        <v>131</v>
      </c>
    </row>
    <row r="7" ht="12.75">
      <c r="A7" s="2" t="s">
        <v>132</v>
      </c>
    </row>
    <row r="8" ht="12.75">
      <c r="A8" s="2" t="s">
        <v>137</v>
      </c>
    </row>
    <row r="9" ht="12.75">
      <c r="A9" s="2" t="s">
        <v>133</v>
      </c>
    </row>
    <row r="10" ht="12.75">
      <c r="A10" s="2" t="s">
        <v>134</v>
      </c>
    </row>
    <row r="11" ht="12.75">
      <c r="A11" s="2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B2" sqref="B2"/>
    </sheetView>
  </sheetViews>
  <sheetFormatPr defaultColWidth="9.140625" defaultRowHeight="12.75"/>
  <cols>
    <col min="2" max="2" width="17.57421875" style="0" bestFit="1" customWidth="1"/>
    <col min="3" max="3" width="11.421875" style="0" bestFit="1" customWidth="1"/>
    <col min="4" max="4" width="13.00390625" style="0" bestFit="1" customWidth="1"/>
    <col min="5" max="5" width="23.28125" style="0" bestFit="1" customWidth="1"/>
  </cols>
  <sheetData>
    <row r="2" ht="15.75">
      <c r="B2" s="77" t="s">
        <v>64</v>
      </c>
    </row>
    <row r="3" ht="13.5" thickBot="1"/>
    <row r="4" spans="2:5" ht="17.25" thickBot="1" thickTop="1">
      <c r="B4" s="46"/>
      <c r="C4" s="48" t="s">
        <v>37</v>
      </c>
      <c r="D4" s="60" t="s">
        <v>39</v>
      </c>
      <c r="E4" s="16"/>
    </row>
    <row r="5" spans="2:5" ht="17.25" thickBot="1" thickTop="1">
      <c r="B5" s="47" t="s">
        <v>36</v>
      </c>
      <c r="C5" s="49" t="s">
        <v>38</v>
      </c>
      <c r="D5" s="61" t="s">
        <v>40</v>
      </c>
      <c r="E5" s="59" t="s">
        <v>41</v>
      </c>
    </row>
    <row r="6" spans="2:5" ht="13.5" thickTop="1">
      <c r="B6" s="62" t="s">
        <v>19</v>
      </c>
      <c r="C6" s="50">
        <v>20.9</v>
      </c>
      <c r="D6" s="56">
        <v>1</v>
      </c>
      <c r="E6" s="53" t="s">
        <v>20</v>
      </c>
    </row>
    <row r="7" spans="2:5" ht="12.75">
      <c r="B7" s="63" t="s">
        <v>21</v>
      </c>
      <c r="C7" s="51">
        <v>7</v>
      </c>
      <c r="D7" s="57">
        <v>1</v>
      </c>
      <c r="E7" s="54" t="s">
        <v>22</v>
      </c>
    </row>
    <row r="8" spans="2:5" ht="12.75">
      <c r="B8" s="63" t="s">
        <v>5</v>
      </c>
      <c r="C8" s="51">
        <v>1</v>
      </c>
      <c r="D8" s="57">
        <v>1</v>
      </c>
      <c r="E8" s="54" t="s">
        <v>20</v>
      </c>
    </row>
    <row r="9" spans="2:5" ht="12.75">
      <c r="B9" s="63" t="s">
        <v>23</v>
      </c>
      <c r="C9" s="51">
        <v>2.3</v>
      </c>
      <c r="D9" s="57">
        <v>1</v>
      </c>
      <c r="E9" s="54" t="s">
        <v>20</v>
      </c>
    </row>
    <row r="10" spans="2:5" ht="12.75">
      <c r="B10" s="63" t="s">
        <v>9</v>
      </c>
      <c r="C10" s="51">
        <v>6.4</v>
      </c>
      <c r="D10" s="57">
        <v>1</v>
      </c>
      <c r="E10" s="54" t="s">
        <v>22</v>
      </c>
    </row>
    <row r="11" spans="2:5" ht="12.75">
      <c r="B11" s="63" t="s">
        <v>9</v>
      </c>
      <c r="C11" s="51">
        <v>8.5</v>
      </c>
      <c r="D11" s="57">
        <v>750</v>
      </c>
      <c r="E11" s="54" t="s">
        <v>74</v>
      </c>
    </row>
    <row r="12" spans="2:5" ht="12.75">
      <c r="B12" s="63" t="s">
        <v>24</v>
      </c>
      <c r="C12" s="51">
        <v>2.2</v>
      </c>
      <c r="D12" s="57">
        <v>1</v>
      </c>
      <c r="E12" s="54" t="s">
        <v>20</v>
      </c>
    </row>
    <row r="13" spans="2:5" ht="12.75">
      <c r="B13" s="63" t="s">
        <v>25</v>
      </c>
      <c r="C13" s="51">
        <v>4.8</v>
      </c>
      <c r="D13" s="57">
        <v>1</v>
      </c>
      <c r="E13" s="54" t="s">
        <v>20</v>
      </c>
    </row>
    <row r="14" spans="2:5" ht="12.75">
      <c r="B14" s="63" t="s">
        <v>26</v>
      </c>
      <c r="C14" s="51">
        <v>2</v>
      </c>
      <c r="D14" s="57">
        <v>1</v>
      </c>
      <c r="E14" s="54" t="s">
        <v>20</v>
      </c>
    </row>
    <row r="15" spans="2:5" ht="12.75">
      <c r="B15" s="63" t="s">
        <v>73</v>
      </c>
      <c r="C15" s="51">
        <v>38.7</v>
      </c>
      <c r="D15" s="57">
        <v>1</v>
      </c>
      <c r="E15" s="54" t="s">
        <v>20</v>
      </c>
    </row>
    <row r="16" spans="2:5" ht="12.75">
      <c r="B16" s="63" t="s">
        <v>8</v>
      </c>
      <c r="C16" s="51">
        <v>6.5</v>
      </c>
      <c r="D16" s="57">
        <v>750</v>
      </c>
      <c r="E16" s="54" t="s">
        <v>74</v>
      </c>
    </row>
    <row r="17" spans="2:5" ht="12.75">
      <c r="B17" s="63" t="s">
        <v>27</v>
      </c>
      <c r="C17" s="51">
        <v>5.9</v>
      </c>
      <c r="D17" s="57">
        <v>1</v>
      </c>
      <c r="E17" s="54" t="s">
        <v>22</v>
      </c>
    </row>
    <row r="18" spans="2:5" ht="12.75">
      <c r="B18" s="63" t="s">
        <v>28</v>
      </c>
      <c r="C18" s="51">
        <v>3.4</v>
      </c>
      <c r="D18" s="57">
        <v>1</v>
      </c>
      <c r="E18" s="54" t="s">
        <v>22</v>
      </c>
    </row>
    <row r="19" spans="2:5" ht="12.75">
      <c r="B19" s="63" t="s">
        <v>18</v>
      </c>
      <c r="C19" s="51">
        <v>11.8</v>
      </c>
      <c r="D19" s="57">
        <v>1</v>
      </c>
      <c r="E19" s="54" t="s">
        <v>22</v>
      </c>
    </row>
    <row r="20" spans="2:5" ht="12.75">
      <c r="B20" s="63" t="s">
        <v>29</v>
      </c>
      <c r="C20" s="51">
        <v>33.6</v>
      </c>
      <c r="D20" s="57">
        <v>1</v>
      </c>
      <c r="E20" s="54" t="s">
        <v>20</v>
      </c>
    </row>
    <row r="21" spans="2:5" ht="12.75">
      <c r="B21" s="63" t="s">
        <v>4</v>
      </c>
      <c r="C21" s="51">
        <v>6.4</v>
      </c>
      <c r="D21" s="57">
        <v>750</v>
      </c>
      <c r="E21" s="54" t="s">
        <v>74</v>
      </c>
    </row>
    <row r="22" spans="2:5" ht="12.75">
      <c r="B22" s="63" t="s">
        <v>30</v>
      </c>
      <c r="C22" s="51">
        <v>210</v>
      </c>
      <c r="D22" s="57">
        <v>1</v>
      </c>
      <c r="E22" s="54" t="s">
        <v>22</v>
      </c>
    </row>
    <row r="23" spans="2:5" ht="12.75">
      <c r="B23" s="63" t="s">
        <v>31</v>
      </c>
      <c r="C23" s="51">
        <v>7.2</v>
      </c>
      <c r="D23" s="57">
        <v>1</v>
      </c>
      <c r="E23" s="54" t="s">
        <v>22</v>
      </c>
    </row>
    <row r="24" spans="2:5" ht="12.75">
      <c r="B24" s="63" t="s">
        <v>32</v>
      </c>
      <c r="C24" s="51">
        <v>5.6</v>
      </c>
      <c r="D24" s="57">
        <v>1</v>
      </c>
      <c r="E24" s="54" t="s">
        <v>22</v>
      </c>
    </row>
    <row r="25" spans="2:5" ht="12.75">
      <c r="B25" s="63" t="s">
        <v>33</v>
      </c>
      <c r="C25" s="51">
        <v>8.5</v>
      </c>
      <c r="D25" s="57">
        <v>1</v>
      </c>
      <c r="E25" s="54" t="s">
        <v>22</v>
      </c>
    </row>
    <row r="26" spans="2:5" ht="12.75">
      <c r="B26" s="63" t="s">
        <v>3</v>
      </c>
      <c r="C26" s="51">
        <v>4.5</v>
      </c>
      <c r="D26" s="57">
        <v>1</v>
      </c>
      <c r="E26" s="54" t="s">
        <v>22</v>
      </c>
    </row>
    <row r="27" spans="2:5" ht="12.75">
      <c r="B27" s="63" t="s">
        <v>34</v>
      </c>
      <c r="C27" s="51">
        <v>2.3</v>
      </c>
      <c r="D27" s="57">
        <v>1</v>
      </c>
      <c r="E27" s="54" t="s">
        <v>20</v>
      </c>
    </row>
    <row r="28" spans="2:5" ht="12.75">
      <c r="B28" s="63" t="s">
        <v>35</v>
      </c>
      <c r="C28" s="51">
        <v>3.4</v>
      </c>
      <c r="D28" s="57">
        <v>1</v>
      </c>
      <c r="E28" s="54" t="s">
        <v>20</v>
      </c>
    </row>
    <row r="29" spans="2:5" ht="13.5" thickBot="1">
      <c r="B29" s="64" t="s">
        <v>6</v>
      </c>
      <c r="C29" s="52">
        <v>81</v>
      </c>
      <c r="D29" s="58">
        <v>1</v>
      </c>
      <c r="E29" s="55" t="s">
        <v>42</v>
      </c>
    </row>
    <row r="30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00390625" style="0" customWidth="1"/>
    <col min="4" max="4" width="10.00390625" style="0" customWidth="1"/>
    <col min="5" max="5" width="9.7109375" style="0" customWidth="1"/>
    <col min="11" max="11" width="8.421875" style="0" customWidth="1"/>
  </cols>
  <sheetData>
    <row r="1" ht="12.75">
      <c r="A1" s="2"/>
    </row>
    <row r="2" spans="1:2" ht="18">
      <c r="A2" s="1"/>
      <c r="B2" s="158" t="s">
        <v>109</v>
      </c>
    </row>
    <row r="3" spans="1:2" ht="15.75">
      <c r="A3" s="1"/>
      <c r="B3" s="77" t="s">
        <v>104</v>
      </c>
    </row>
    <row r="4" spans="1:2" ht="15.75">
      <c r="A4" s="1"/>
      <c r="B4" s="185" t="s">
        <v>112</v>
      </c>
    </row>
    <row r="5" spans="1:2" ht="15.75">
      <c r="A5" s="2"/>
      <c r="B5" s="185" t="s">
        <v>105</v>
      </c>
    </row>
    <row r="6" spans="1:8" ht="15.75">
      <c r="A6" s="2"/>
      <c r="B6" s="185" t="s">
        <v>106</v>
      </c>
      <c r="F6" s="121"/>
      <c r="G6" s="121"/>
      <c r="H6" s="121"/>
    </row>
    <row r="7" spans="1:8" ht="13.5" thickBot="1">
      <c r="A7" s="2"/>
      <c r="F7" s="121"/>
      <c r="G7" s="121"/>
      <c r="H7" s="121"/>
    </row>
    <row r="8" spans="2:8" ht="14.25" thickBot="1" thickTop="1">
      <c r="B8" s="31" t="s">
        <v>1</v>
      </c>
      <c r="C8" s="32"/>
      <c r="D8" s="33"/>
      <c r="F8" s="122"/>
      <c r="G8" s="122"/>
      <c r="H8" s="121"/>
    </row>
    <row r="9" spans="2:8" ht="12.75">
      <c r="B9" s="34" t="s">
        <v>7</v>
      </c>
      <c r="C9" s="117" t="str">
        <f>'(1) Dielectric Constants'!B26</f>
        <v>Quartz</v>
      </c>
      <c r="D9" s="72">
        <v>4.5</v>
      </c>
      <c r="E9" s="184" t="s">
        <v>75</v>
      </c>
      <c r="F9" s="123"/>
      <c r="G9" s="90"/>
      <c r="H9" s="121"/>
    </row>
    <row r="10" spans="2:8" ht="12.75">
      <c r="B10" s="20"/>
      <c r="C10" s="118" t="str">
        <f>'(1) Dielectric Constants'!B21</f>
        <v>Mica</v>
      </c>
      <c r="D10" s="95">
        <v>6.4</v>
      </c>
      <c r="E10" s="184" t="s">
        <v>76</v>
      </c>
      <c r="F10" s="123"/>
      <c r="G10" s="90"/>
      <c r="H10" s="121"/>
    </row>
    <row r="11" spans="2:8" ht="12.75">
      <c r="B11" s="21" t="s">
        <v>57</v>
      </c>
      <c r="C11" s="118" t="str">
        <f>'(1) Dielectric Constants'!B8</f>
        <v>Air</v>
      </c>
      <c r="D11" s="95">
        <v>1</v>
      </c>
      <c r="E11" s="184" t="s">
        <v>77</v>
      </c>
      <c r="F11" s="123"/>
      <c r="G11" s="90"/>
      <c r="H11" s="121"/>
    </row>
    <row r="12" spans="2:8" ht="13.5" thickBot="1">
      <c r="B12" s="34" t="s">
        <v>58</v>
      </c>
      <c r="C12" s="119" t="str">
        <f>'(1) Dielectric Constants'!B29</f>
        <v>Water</v>
      </c>
      <c r="D12" s="120">
        <v>81</v>
      </c>
      <c r="E12" s="184" t="s">
        <v>78</v>
      </c>
      <c r="F12" s="123"/>
      <c r="G12" s="90"/>
      <c r="H12" s="121"/>
    </row>
    <row r="13" spans="2:7" ht="14.25" thickBot="1" thickTop="1">
      <c r="B13" s="17" t="s">
        <v>59</v>
      </c>
      <c r="C13" s="35"/>
      <c r="D13" s="36"/>
      <c r="E13" s="184"/>
      <c r="F13" s="43"/>
      <c r="G13" s="4"/>
    </row>
    <row r="14" spans="2:5" ht="13.5" thickTop="1">
      <c r="B14" s="38"/>
      <c r="C14" s="30" t="s">
        <v>52</v>
      </c>
      <c r="D14" s="72">
        <v>0</v>
      </c>
      <c r="E14" s="184" t="s">
        <v>79</v>
      </c>
    </row>
    <row r="15" spans="2:5" ht="12.75">
      <c r="B15" s="67"/>
      <c r="C15" s="68" t="s">
        <v>53</v>
      </c>
      <c r="D15" s="73">
        <v>50</v>
      </c>
      <c r="E15" s="184" t="s">
        <v>80</v>
      </c>
    </row>
    <row r="16" spans="2:5" ht="13.5" thickBot="1">
      <c r="B16" s="39"/>
      <c r="C16" s="37" t="s">
        <v>55</v>
      </c>
      <c r="D16" s="74">
        <v>100</v>
      </c>
      <c r="E16" s="184" t="s">
        <v>81</v>
      </c>
    </row>
    <row r="17" ht="13.5" thickTop="1">
      <c r="D17" s="16"/>
    </row>
    <row r="18" ht="12.75">
      <c r="D18" s="16"/>
    </row>
    <row r="19" spans="1:2" ht="12.75">
      <c r="A19" s="3"/>
      <c r="B19" s="2" t="s">
        <v>60</v>
      </c>
    </row>
    <row r="20" spans="1:3" ht="13.5" thickBot="1">
      <c r="A20" s="3"/>
      <c r="B20" s="3" t="s">
        <v>54</v>
      </c>
      <c r="C20" s="4">
        <f>D14</f>
        <v>0</v>
      </c>
    </row>
    <row r="21" spans="2:14" ht="13.5" thickTop="1">
      <c r="B21" s="15" t="s">
        <v>2</v>
      </c>
      <c r="C21" s="9"/>
      <c r="D21" s="130" t="s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2:14" ht="13.5" thickBot="1">
      <c r="B22" s="10" t="str">
        <f>C9</f>
        <v>Quartz</v>
      </c>
      <c r="C22" s="11" t="str">
        <f>C10</f>
        <v>Mica</v>
      </c>
      <c r="D22" s="6">
        <v>0</v>
      </c>
      <c r="E22" s="6">
        <v>5</v>
      </c>
      <c r="F22" s="6">
        <v>10</v>
      </c>
      <c r="G22" s="6">
        <v>15</v>
      </c>
      <c r="H22" s="6">
        <v>20</v>
      </c>
      <c r="I22" s="6">
        <v>25</v>
      </c>
      <c r="J22" s="6">
        <v>30</v>
      </c>
      <c r="K22" s="6">
        <v>35</v>
      </c>
      <c r="L22" s="6">
        <v>40</v>
      </c>
      <c r="M22" s="6">
        <v>45</v>
      </c>
      <c r="N22" s="7">
        <v>50</v>
      </c>
    </row>
    <row r="23" spans="2:14" ht="12.75">
      <c r="B23" s="10">
        <v>100</v>
      </c>
      <c r="C23" s="12">
        <v>0</v>
      </c>
      <c r="D23" s="22">
        <f>($D$14/100*$D$22/100*($D$12)^0.5+(1-$D$14/100)*$D$22/100*($D$11)^0.5+(1-$D$22/100)*B23/100*($D$9)^0.5+(1-$D$22/100)*C23/100*($D$10)^0.5)^2</f>
        <v>4.499999999999999</v>
      </c>
      <c r="E23" s="23">
        <f>($D$14/100*$E$22/100*($D$12)^0.5+(1-$D$14/100)*$E$22/100*($D$11)^0.5+(1-$E$22/100)*B23/100*($D$9)^0.5+(1-$E$22/100)*C23/100*($D$10)^0.5)^2</f>
        <v>4.2652754326381634</v>
      </c>
      <c r="F23" s="23">
        <f aca="true" t="shared" si="0" ref="F23:F43">($D$14/100*$F$22/100*($D$12)^0.5+(1-$D$14/100)*$F$22/100*($D$11)^0.5+(1-$F$22/100)*B23/100*($D$9)^0.5+(1-$F$22/100)*C23/100*($D$10)^0.5)^2</f>
        <v>4.036837661840735</v>
      </c>
      <c r="G23" s="23">
        <f aca="true" t="shared" si="1" ref="G23:G43">($D$14/100*$G$22/100*($D$12)^0.5+(1-$D$14/100)*$G$22/100*($D$11)^0.5+(1-$G$22/100)*B23/100*($D$9)^0.5+(1-$G$22/100)*C23/100*($D$10)^0.5)^2</f>
        <v>3.8146866876077077</v>
      </c>
      <c r="H23" s="44">
        <f aca="true" t="shared" si="2" ref="H23:H43">($D$14/100*$H$22/100*($D$12)^0.5+(1-$D$14/100)*$H$22/100*($D$11)^0.5+(1-$H$22/100)*B23/100*($D$9)^0.5+(1-$H$22/100)*C23/100*($D$10)^0.5)^2</f>
        <v>3.5988225099390854</v>
      </c>
      <c r="I23" s="44">
        <f>($D$14/100*$I$22/100*($D$12)^0.5+(1-$D$14/100)*$I$22/100*($D$11)^0.5+(1-$I$22/100)*B23/100*($D$9)^0.5+(1-$I$22/100)*C23/100*($D$10)^0.5)^2</f>
        <v>3.3892451288348657</v>
      </c>
      <c r="J23" s="44">
        <f>($D$14/100*$J$22/100*($D$12)^0.5+(1-$D$14/100)*$J$22/100*($D$11)^0.5+(1-$J$22/100)*B23/100*($D$9)^0.5+(1-$J$22/100)*C23/100*($D$10)^0.5)^2</f>
        <v>3.185954544295049</v>
      </c>
      <c r="K23" s="44">
        <f>($D$14/100*$K$22/100*($D$12)^0.5+(1-$D$14/100)*$K$22/100*($D$11)^0.5+(1-$K$22/100)*B23/100*($D$9)^0.5+(1-$K$22/100)*C23/100*($D$10)^0.5)^2</f>
        <v>2.9889507563196376</v>
      </c>
      <c r="L23" s="44">
        <f>($D$14/100*$L$22/100*($D$12)^0.5+(1-$D$14/100)*$L$22/100*($D$11)^0.5+(1-$L$22/100)*B23/100*($D$9)^0.5+(1-$L$22/100)*C23/100*($D$10)^0.5)^2</f>
        <v>2.7982337649086286</v>
      </c>
      <c r="M23" s="23">
        <f>($D$14/100*$M$22/100*($D$12)^0.5+(1-$D$14/100)*$M$22/100*($D$11)^0.5+(1-$M$22/100)*B23/100*($D$9)^0.5+(1-$M$22/100)*C23/100*($D$10)^0.5)^2</f>
        <v>2.613803570062023</v>
      </c>
      <c r="N23" s="24">
        <f>($D$14/100*$N$22/100*($D$12)^0.5+(1-$D$14/100)*$N$22/100*($D$11)^0.5+(1-$N$22/100)*B23/100*($D$9)^0.5+(1-$N$22/100)*C23/100*($D$10)^0.5)^2</f>
        <v>2.435660171779821</v>
      </c>
    </row>
    <row r="24" spans="2:14" ht="12.75">
      <c r="B24" s="10">
        <v>95</v>
      </c>
      <c r="C24" s="12">
        <v>5</v>
      </c>
      <c r="D24" s="25">
        <f aca="true" t="shared" si="3" ref="D24:D43">($D$14/100*$D$22/100*($D$12)^0.5+(1-$D$14/100)*$D$22/100*($D$11)^0.5+(1-$D$22/100)*B24/100*($D$9)^0.5+(1-$D$22/100)*C24/100*($D$10)^0.5)^2</f>
        <v>4.58707349886995</v>
      </c>
      <c r="E24" s="8">
        <f aca="true" t="shared" si="4" ref="E24:E43">($D$14/100*$E$22/100*($D$12)^0.5+(1-$D$14/100)*$E$22/100*($D$11)^0.5+(1-$E$22/100)*B24/100*($D$9)^0.5+(1-$E$22/100)*C24/100*($D$10)^0.5)^2</f>
        <v>4.345799648845029</v>
      </c>
      <c r="F24" s="8">
        <f t="shared" si="0"/>
        <v>4.111043711986571</v>
      </c>
      <c r="G24" s="8">
        <f t="shared" si="1"/>
        <v>3.88280568829458</v>
      </c>
      <c r="H24" s="45">
        <f t="shared" si="2"/>
        <v>3.6610855777690547</v>
      </c>
      <c r="I24" s="45">
        <f aca="true" t="shared" si="5" ref="I24:I43">($D$14/100*$I$22/100*($D$12)^0.5+(1-$D$14/100)*$I$22/100*($D$11)^0.5+(1-$I$22/100)*B24/100*($D$9)^0.5+(1-$I$22/100)*C24/100*($D$10)^0.5)^2</f>
        <v>3.445883380409996</v>
      </c>
      <c r="J24" s="45">
        <f aca="true" t="shared" si="6" ref="J24:J43">($D$14/100*$J$22/100*($D$12)^0.5+(1-$D$14/100)*$J$22/100*($D$11)^0.5+(1-$J$22/100)*B24/100*($D$9)^0.5+(1-$J$22/100)*C24/100*($D$10)^0.5)^2</f>
        <v>3.237199096217403</v>
      </c>
      <c r="K24" s="45">
        <f aca="true" t="shared" si="7" ref="K24:K43">($D$14/100*$K$22/100*($D$12)^0.5+(1-$D$14/100)*$K$22/100*($D$11)^0.5+(1-$K$22/100)*B24/100*($D$9)^0.5+(1-$K$22/100)*C24/100*($D$10)^0.5)^2</f>
        <v>3.0350327251912743</v>
      </c>
      <c r="L24" s="45">
        <f aca="true" t="shared" si="8" ref="L24:L43">($D$14/100*$L$22/100*($D$12)^0.5+(1-$D$14/100)*$L$22/100*($D$11)^0.5+(1-$L$22/100)*B24/100*($D$9)^0.5+(1-$L$22/100)*C24/100*($D$10)^0.5)^2</f>
        <v>2.839384267331613</v>
      </c>
      <c r="M24" s="8">
        <f aca="true" t="shared" si="9" ref="M24:M43">($D$14/100*$M$22/100*($D$12)^0.5+(1-$D$14/100)*$M$22/100*($D$11)^0.5+(1-$M$22/100)*B24/100*($D$9)^0.5+(1-$M$22/100)*C24/100*($D$10)^0.5)^2</f>
        <v>2.650253722638417</v>
      </c>
      <c r="N24" s="26">
        <f aca="true" t="shared" si="10" ref="N24:N43">($D$14/100*$N$22/100*($D$12)^0.5+(1-$D$14/100)*$N$22/100*($D$11)^0.5+(1-$N$22/100)*B24/100*($D$9)^0.5+(1-$N$22/100)*C24/100*($D$10)^0.5)^2</f>
        <v>2.467641091111685</v>
      </c>
    </row>
    <row r="25" spans="2:14" ht="12.75">
      <c r="B25" s="10">
        <v>90</v>
      </c>
      <c r="C25" s="12">
        <v>10</v>
      </c>
      <c r="D25" s="25">
        <f t="shared" si="3"/>
        <v>4.674981366279908</v>
      </c>
      <c r="E25" s="8">
        <f t="shared" si="4"/>
        <v>4.427076882659246</v>
      </c>
      <c r="F25" s="8">
        <f t="shared" si="0"/>
        <v>4.185925600649813</v>
      </c>
      <c r="G25" s="8">
        <f t="shared" si="1"/>
        <v>3.951527520251606</v>
      </c>
      <c r="H25" s="8">
        <f t="shared" si="2"/>
        <v>3.723882641464629</v>
      </c>
      <c r="I25" s="8">
        <f t="shared" si="5"/>
        <v>3.5029909642888795</v>
      </c>
      <c r="J25" s="8">
        <f t="shared" si="6"/>
        <v>3.2888524887243573</v>
      </c>
      <c r="K25" s="8">
        <f t="shared" si="7"/>
        <v>3.081467214771064</v>
      </c>
      <c r="L25" s="8">
        <f t="shared" si="8"/>
        <v>2.8808351424289986</v>
      </c>
      <c r="M25" s="8">
        <f t="shared" si="9"/>
        <v>2.686956271698161</v>
      </c>
      <c r="N25" s="26">
        <f t="shared" si="10"/>
        <v>2.4998306025785513</v>
      </c>
    </row>
    <row r="26" spans="2:14" ht="12.75">
      <c r="B26" s="10">
        <v>85</v>
      </c>
      <c r="C26" s="12">
        <v>15</v>
      </c>
      <c r="D26" s="25">
        <f t="shared" si="3"/>
        <v>4.76372360222987</v>
      </c>
      <c r="E26" s="8">
        <f t="shared" si="4"/>
        <v>4.509107134080818</v>
      </c>
      <c r="F26" s="8">
        <f t="shared" si="0"/>
        <v>4.261483327830458</v>
      </c>
      <c r="G26" s="8">
        <f t="shared" si="1"/>
        <v>4.0208521834787865</v>
      </c>
      <c r="H26" s="8">
        <f t="shared" si="2"/>
        <v>3.787213701025806</v>
      </c>
      <c r="I26" s="8">
        <f t="shared" si="5"/>
        <v>3.5605678804715146</v>
      </c>
      <c r="J26" s="8">
        <f t="shared" si="6"/>
        <v>3.340914721815915</v>
      </c>
      <c r="K26" s="8">
        <f t="shared" si="7"/>
        <v>3.128254225059005</v>
      </c>
      <c r="L26" s="8">
        <f t="shared" si="8"/>
        <v>2.9225863902007863</v>
      </c>
      <c r="M26" s="8">
        <f t="shared" si="9"/>
        <v>2.7239112172412585</v>
      </c>
      <c r="N26" s="26">
        <f t="shared" si="10"/>
        <v>2.5322287061804185</v>
      </c>
    </row>
    <row r="27" spans="2:14" ht="12.75">
      <c r="B27" s="10">
        <v>80</v>
      </c>
      <c r="C27" s="12">
        <v>20</v>
      </c>
      <c r="D27" s="25">
        <f t="shared" si="3"/>
        <v>4.8533002067198385</v>
      </c>
      <c r="E27" s="8">
        <f t="shared" si="4"/>
        <v>4.591890403109747</v>
      </c>
      <c r="F27" s="8">
        <f t="shared" si="0"/>
        <v>4.3377168935285075</v>
      </c>
      <c r="G27" s="8">
        <f t="shared" si="1"/>
        <v>4.090779677976119</v>
      </c>
      <c r="H27" s="8">
        <f t="shared" si="2"/>
        <v>3.8510787564525857</v>
      </c>
      <c r="I27" s="8">
        <f t="shared" si="5"/>
        <v>3.6186141289579044</v>
      </c>
      <c r="J27" s="8">
        <f t="shared" si="6"/>
        <v>3.393385795492076</v>
      </c>
      <c r="K27" s="8">
        <f t="shared" si="7"/>
        <v>3.1753937560550995</v>
      </c>
      <c r="L27" s="8">
        <f t="shared" si="8"/>
        <v>2.9646380106469756</v>
      </c>
      <c r="M27" s="8">
        <f t="shared" si="9"/>
        <v>2.7611185592677048</v>
      </c>
      <c r="N27" s="26">
        <f t="shared" si="10"/>
        <v>2.5648354019172874</v>
      </c>
    </row>
    <row r="28" spans="2:14" ht="12.75">
      <c r="B28" s="10">
        <v>75</v>
      </c>
      <c r="C28" s="12">
        <v>25</v>
      </c>
      <c r="D28" s="25">
        <f t="shared" si="3"/>
        <v>4.943711179749811</v>
      </c>
      <c r="E28" s="8">
        <f t="shared" si="4"/>
        <v>4.675426689746028</v>
      </c>
      <c r="F28" s="8">
        <f t="shared" si="0"/>
        <v>4.414626297743961</v>
      </c>
      <c r="G28" s="8">
        <f t="shared" si="1"/>
        <v>4.161310003743607</v>
      </c>
      <c r="H28" s="8">
        <f t="shared" si="2"/>
        <v>3.9154778077449697</v>
      </c>
      <c r="I28" s="8">
        <f t="shared" si="5"/>
        <v>3.6771297097480464</v>
      </c>
      <c r="J28" s="8">
        <f t="shared" si="6"/>
        <v>3.4462657097528386</v>
      </c>
      <c r="K28" s="8">
        <f t="shared" si="7"/>
        <v>3.2228858077593445</v>
      </c>
      <c r="L28" s="8">
        <f t="shared" si="8"/>
        <v>3.006990003767567</v>
      </c>
      <c r="M28" s="8">
        <f t="shared" si="9"/>
        <v>2.7985782977775044</v>
      </c>
      <c r="N28" s="26">
        <f t="shared" si="10"/>
        <v>2.5976506897891567</v>
      </c>
    </row>
    <row r="29" spans="2:14" ht="12.75">
      <c r="B29" s="10">
        <v>70</v>
      </c>
      <c r="C29" s="12">
        <v>30</v>
      </c>
      <c r="D29" s="25">
        <f t="shared" si="3"/>
        <v>5.0349565213197875</v>
      </c>
      <c r="E29" s="8">
        <f t="shared" si="4"/>
        <v>4.759715993989664</v>
      </c>
      <c r="F29" s="8">
        <f t="shared" si="0"/>
        <v>4.492211540476817</v>
      </c>
      <c r="G29" s="8">
        <f t="shared" si="1"/>
        <v>4.232443160781247</v>
      </c>
      <c r="H29" s="8">
        <f t="shared" si="2"/>
        <v>3.980410854902955</v>
      </c>
      <c r="I29" s="8">
        <f t="shared" si="5"/>
        <v>3.736114622841941</v>
      </c>
      <c r="J29" s="8">
        <f t="shared" si="6"/>
        <v>3.4995544645982033</v>
      </c>
      <c r="K29" s="8">
        <f t="shared" si="7"/>
        <v>3.2707303801717433</v>
      </c>
      <c r="L29" s="8">
        <f t="shared" si="8"/>
        <v>3.0496423695625605</v>
      </c>
      <c r="M29" s="8">
        <f t="shared" si="9"/>
        <v>2.8362904327706553</v>
      </c>
      <c r="N29" s="26">
        <f t="shared" si="10"/>
        <v>2.630674569796027</v>
      </c>
    </row>
    <row r="30" spans="2:14" ht="12.75">
      <c r="B30" s="10">
        <v>65</v>
      </c>
      <c r="C30" s="12">
        <v>35</v>
      </c>
      <c r="D30" s="25">
        <f t="shared" si="3"/>
        <v>5.12703623142977</v>
      </c>
      <c r="E30" s="8">
        <f t="shared" si="4"/>
        <v>4.8447583158406555</v>
      </c>
      <c r="F30" s="8">
        <f t="shared" si="0"/>
        <v>4.5704726217270775</v>
      </c>
      <c r="G30" s="8">
        <f t="shared" si="1"/>
        <v>4.304179149089041</v>
      </c>
      <c r="H30" s="8">
        <f t="shared" si="2"/>
        <v>4.0458778979265455</v>
      </c>
      <c r="I30" s="8">
        <f t="shared" si="5"/>
        <v>3.7955688682395885</v>
      </c>
      <c r="J30" s="8">
        <f t="shared" si="6"/>
        <v>3.553252060028171</v>
      </c>
      <c r="K30" s="8">
        <f t="shared" si="7"/>
        <v>3.3189274732922938</v>
      </c>
      <c r="L30" s="8">
        <f t="shared" si="8"/>
        <v>3.0925951080319556</v>
      </c>
      <c r="M30" s="8">
        <f t="shared" si="9"/>
        <v>2.8742549642471573</v>
      </c>
      <c r="N30" s="26">
        <f t="shared" si="10"/>
        <v>2.6639070419378994</v>
      </c>
    </row>
    <row r="31" spans="2:14" ht="12.75">
      <c r="B31" s="10">
        <v>60</v>
      </c>
      <c r="C31" s="12">
        <v>40</v>
      </c>
      <c r="D31" s="25">
        <f t="shared" si="3"/>
        <v>5.219950310079758</v>
      </c>
      <c r="E31" s="8">
        <f t="shared" si="4"/>
        <v>4.930553655298999</v>
      </c>
      <c r="F31" s="8">
        <f t="shared" si="0"/>
        <v>4.649409541494744</v>
      </c>
      <c r="G31" s="8">
        <f t="shared" si="1"/>
        <v>4.376517968666991</v>
      </c>
      <c r="H31" s="8">
        <f t="shared" si="2"/>
        <v>4.111878936815738</v>
      </c>
      <c r="I31" s="8">
        <f t="shared" si="5"/>
        <v>3.8554924459409885</v>
      </c>
      <c r="J31" s="8">
        <f t="shared" si="6"/>
        <v>3.6073584960427416</v>
      </c>
      <c r="K31" s="45">
        <f t="shared" si="7"/>
        <v>3.3674770871209954</v>
      </c>
      <c r="L31" s="8">
        <f t="shared" si="8"/>
        <v>3.135848219175753</v>
      </c>
      <c r="M31" s="8">
        <f t="shared" si="9"/>
        <v>2.9124718922070123</v>
      </c>
      <c r="N31" s="26">
        <f t="shared" si="10"/>
        <v>2.6973481062147737</v>
      </c>
    </row>
    <row r="32" spans="2:14" ht="12.75">
      <c r="B32" s="10">
        <v>55</v>
      </c>
      <c r="C32" s="12">
        <v>45</v>
      </c>
      <c r="D32" s="25">
        <f t="shared" si="3"/>
        <v>5.313698757269751</v>
      </c>
      <c r="E32" s="8">
        <f t="shared" si="4"/>
        <v>5.017102012364698</v>
      </c>
      <c r="F32" s="8">
        <f t="shared" si="0"/>
        <v>4.729022299779814</v>
      </c>
      <c r="G32" s="8">
        <f t="shared" si="1"/>
        <v>4.449459619515092</v>
      </c>
      <c r="H32" s="8">
        <f t="shared" si="2"/>
        <v>4.178413971570534</v>
      </c>
      <c r="I32" s="8">
        <f t="shared" si="5"/>
        <v>3.9158853559461417</v>
      </c>
      <c r="J32" s="8">
        <f t="shared" si="6"/>
        <v>3.6618737726419135</v>
      </c>
      <c r="K32" s="8">
        <f t="shared" si="7"/>
        <v>3.41637922165785</v>
      </c>
      <c r="L32" s="8">
        <f t="shared" si="8"/>
        <v>3.1794017029939523</v>
      </c>
      <c r="M32" s="8">
        <f t="shared" si="9"/>
        <v>2.950941216650218</v>
      </c>
      <c r="N32" s="26">
        <f t="shared" si="10"/>
        <v>2.730997762626648</v>
      </c>
    </row>
    <row r="33" spans="2:14" ht="12.75">
      <c r="B33" s="10">
        <v>50</v>
      </c>
      <c r="C33" s="12">
        <v>50</v>
      </c>
      <c r="D33" s="25">
        <f t="shared" si="3"/>
        <v>5.408281572999748</v>
      </c>
      <c r="E33" s="8">
        <f t="shared" si="4"/>
        <v>5.1044033870377525</v>
      </c>
      <c r="F33" s="8">
        <f t="shared" si="0"/>
        <v>4.809310896582288</v>
      </c>
      <c r="G33" s="8">
        <f t="shared" si="1"/>
        <v>4.523004101633347</v>
      </c>
      <c r="H33" s="8">
        <f t="shared" si="2"/>
        <v>4.245483002190935</v>
      </c>
      <c r="I33" s="8">
        <f t="shared" si="5"/>
        <v>3.9767475982550478</v>
      </c>
      <c r="J33" s="8">
        <f t="shared" si="6"/>
        <v>3.716797889825689</v>
      </c>
      <c r="K33" s="8">
        <f t="shared" si="7"/>
        <v>3.4656338769028574</v>
      </c>
      <c r="L33" s="8">
        <f t="shared" si="8"/>
        <v>3.223255559486552</v>
      </c>
      <c r="M33" s="8">
        <f t="shared" si="9"/>
        <v>2.9896629375767745</v>
      </c>
      <c r="N33" s="26">
        <f t="shared" si="10"/>
        <v>2.7648560111735234</v>
      </c>
    </row>
    <row r="34" spans="2:14" ht="12.75">
      <c r="B34" s="10">
        <v>45</v>
      </c>
      <c r="C34" s="12">
        <v>55</v>
      </c>
      <c r="D34" s="25">
        <f t="shared" si="3"/>
        <v>5.503698757269751</v>
      </c>
      <c r="E34" s="8">
        <f t="shared" si="4"/>
        <v>5.19245777931816</v>
      </c>
      <c r="F34" s="8">
        <f t="shared" si="0"/>
        <v>4.890275331902164</v>
      </c>
      <c r="G34" s="8">
        <f t="shared" si="1"/>
        <v>4.597151415021756</v>
      </c>
      <c r="H34" s="8">
        <f t="shared" si="2"/>
        <v>4.313086028676937</v>
      </c>
      <c r="I34" s="8">
        <f t="shared" si="5"/>
        <v>4.038079172867707</v>
      </c>
      <c r="J34" s="8">
        <f t="shared" si="6"/>
        <v>3.7721308475940662</v>
      </c>
      <c r="K34" s="8">
        <f t="shared" si="7"/>
        <v>3.5152410528560156</v>
      </c>
      <c r="L34" s="8">
        <f t="shared" si="8"/>
        <v>3.2674097886535547</v>
      </c>
      <c r="M34" s="8">
        <f t="shared" si="9"/>
        <v>3.028637054986683</v>
      </c>
      <c r="N34" s="26">
        <f t="shared" si="10"/>
        <v>2.7989228518554006</v>
      </c>
    </row>
    <row r="35" spans="2:14" ht="12.75">
      <c r="B35" s="10">
        <v>40</v>
      </c>
      <c r="C35" s="12">
        <v>60</v>
      </c>
      <c r="D35" s="25">
        <f t="shared" si="3"/>
        <v>5.599950310079756</v>
      </c>
      <c r="E35" s="8">
        <f t="shared" si="4"/>
        <v>5.281265189205924</v>
      </c>
      <c r="F35" s="8">
        <f t="shared" si="0"/>
        <v>4.971915605739447</v>
      </c>
      <c r="G35" s="8">
        <f t="shared" si="1"/>
        <v>4.671901559680318</v>
      </c>
      <c r="H35" s="8">
        <f t="shared" si="2"/>
        <v>4.381223051028543</v>
      </c>
      <c r="I35" s="8">
        <f t="shared" si="5"/>
        <v>4.099880079784119</v>
      </c>
      <c r="J35" s="8">
        <f t="shared" si="6"/>
        <v>3.8278726459470462</v>
      </c>
      <c r="K35" s="8">
        <f t="shared" si="7"/>
        <v>3.5652007495173264</v>
      </c>
      <c r="L35" s="8">
        <f t="shared" si="8"/>
        <v>3.3118643904949594</v>
      </c>
      <c r="M35" s="8">
        <f t="shared" si="9"/>
        <v>3.0678635688799427</v>
      </c>
      <c r="N35" s="26">
        <f t="shared" si="10"/>
        <v>2.8331982846722794</v>
      </c>
    </row>
    <row r="36" spans="2:14" ht="12.75">
      <c r="B36" s="10">
        <v>35</v>
      </c>
      <c r="C36" s="12">
        <v>65</v>
      </c>
      <c r="D36" s="25">
        <f t="shared" si="3"/>
        <v>5.69703623142977</v>
      </c>
      <c r="E36" s="8">
        <f t="shared" si="4"/>
        <v>5.370825616701046</v>
      </c>
      <c r="F36" s="8">
        <f t="shared" si="0"/>
        <v>5.054231718094131</v>
      </c>
      <c r="G36" s="8">
        <f t="shared" si="1"/>
        <v>4.747254535609034</v>
      </c>
      <c r="H36" s="8">
        <f t="shared" si="2"/>
        <v>4.449894069245751</v>
      </c>
      <c r="I36" s="8">
        <f t="shared" si="5"/>
        <v>4.162150319004283</v>
      </c>
      <c r="J36" s="8">
        <f t="shared" si="6"/>
        <v>3.884023284884629</v>
      </c>
      <c r="K36" s="8">
        <f t="shared" si="7"/>
        <v>3.6155129668867896</v>
      </c>
      <c r="L36" s="8">
        <f t="shared" si="8"/>
        <v>3.3566193650107645</v>
      </c>
      <c r="M36" s="8">
        <f t="shared" si="9"/>
        <v>3.1073424792565545</v>
      </c>
      <c r="N36" s="26">
        <f t="shared" si="10"/>
        <v>2.8676823096241586</v>
      </c>
    </row>
    <row r="37" spans="2:14" ht="12.75">
      <c r="B37" s="10">
        <v>30</v>
      </c>
      <c r="C37" s="12">
        <v>70</v>
      </c>
      <c r="D37" s="25">
        <f t="shared" si="3"/>
        <v>5.794956521319788</v>
      </c>
      <c r="E37" s="8">
        <f t="shared" si="4"/>
        <v>5.461139061803518</v>
      </c>
      <c r="F37" s="8">
        <f t="shared" si="0"/>
        <v>5.1372236689662225</v>
      </c>
      <c r="G37" s="8">
        <f t="shared" si="1"/>
        <v>4.823210342807903</v>
      </c>
      <c r="H37" s="8">
        <f t="shared" si="2"/>
        <v>4.519099083328564</v>
      </c>
      <c r="I37" s="8">
        <f t="shared" si="5"/>
        <v>4.2248898905282</v>
      </c>
      <c r="J37" s="8">
        <f t="shared" si="6"/>
        <v>3.940582764406814</v>
      </c>
      <c r="K37" s="8">
        <f t="shared" si="7"/>
        <v>3.6661777049644044</v>
      </c>
      <c r="L37" s="8">
        <f t="shared" si="8"/>
        <v>3.4016747122009727</v>
      </c>
      <c r="M37" s="8">
        <f t="shared" si="9"/>
        <v>3.1470737861165174</v>
      </c>
      <c r="N37" s="26">
        <f t="shared" si="10"/>
        <v>2.90237492671104</v>
      </c>
    </row>
    <row r="38" spans="2:14" ht="12.75">
      <c r="B38" s="10">
        <v>25</v>
      </c>
      <c r="C38" s="12">
        <v>75</v>
      </c>
      <c r="D38" s="25">
        <f t="shared" si="3"/>
        <v>5.893711179749809</v>
      </c>
      <c r="E38" s="8">
        <f t="shared" si="4"/>
        <v>5.552205524513345</v>
      </c>
      <c r="F38" s="8">
        <f t="shared" si="0"/>
        <v>5.220891458355717</v>
      </c>
      <c r="G38" s="8">
        <f t="shared" si="1"/>
        <v>4.899768981276927</v>
      </c>
      <c r="H38" s="8">
        <f t="shared" si="2"/>
        <v>4.588838093276979</v>
      </c>
      <c r="I38" s="8">
        <f t="shared" si="5"/>
        <v>4.28809879435587</v>
      </c>
      <c r="J38" s="8">
        <f t="shared" si="6"/>
        <v>3.997551084513601</v>
      </c>
      <c r="K38" s="8">
        <f t="shared" si="7"/>
        <v>3.7171949637501718</v>
      </c>
      <c r="L38" s="8">
        <f t="shared" si="8"/>
        <v>3.4470304320655822</v>
      </c>
      <c r="M38" s="8">
        <f t="shared" si="9"/>
        <v>3.1870574894598325</v>
      </c>
      <c r="N38" s="26">
        <f t="shared" si="10"/>
        <v>2.9372761359329216</v>
      </c>
    </row>
    <row r="39" spans="2:14" ht="12.75">
      <c r="B39" s="10">
        <v>20</v>
      </c>
      <c r="C39" s="12">
        <v>80</v>
      </c>
      <c r="D39" s="25">
        <f t="shared" si="3"/>
        <v>5.99330020671984</v>
      </c>
      <c r="E39" s="8">
        <f t="shared" si="4"/>
        <v>5.644025004830524</v>
      </c>
      <c r="F39" s="8">
        <f t="shared" si="0"/>
        <v>5.305235086262614</v>
      </c>
      <c r="G39" s="8">
        <f t="shared" si="1"/>
        <v>4.976930451016106</v>
      </c>
      <c r="H39" s="8">
        <f t="shared" si="2"/>
        <v>4.659111099090999</v>
      </c>
      <c r="I39" s="8">
        <f t="shared" si="5"/>
        <v>4.351777030487293</v>
      </c>
      <c r="J39" s="8">
        <f t="shared" si="6"/>
        <v>4.054928245204992</v>
      </c>
      <c r="K39" s="8">
        <f t="shared" si="7"/>
        <v>3.7685647432440916</v>
      </c>
      <c r="L39" s="8">
        <f t="shared" si="8"/>
        <v>3.492686524604593</v>
      </c>
      <c r="M39" s="8">
        <f t="shared" si="9"/>
        <v>3.2272935892864987</v>
      </c>
      <c r="N39" s="26">
        <f t="shared" si="10"/>
        <v>2.972385937289806</v>
      </c>
    </row>
    <row r="40" spans="2:14" ht="12.75">
      <c r="B40" s="10">
        <v>15</v>
      </c>
      <c r="C40" s="12">
        <v>85</v>
      </c>
      <c r="D40" s="25">
        <f t="shared" si="3"/>
        <v>6.093723602229869</v>
      </c>
      <c r="E40" s="8">
        <f t="shared" si="4"/>
        <v>5.7365975027550595</v>
      </c>
      <c r="F40" s="8">
        <f t="shared" si="0"/>
        <v>5.390254552686916</v>
      </c>
      <c r="G40" s="8">
        <f t="shared" si="1"/>
        <v>5.054694752025436</v>
      </c>
      <c r="H40" s="8">
        <f t="shared" si="2"/>
        <v>4.729918100770621</v>
      </c>
      <c r="I40" s="8">
        <f t="shared" si="5"/>
        <v>4.415924598922469</v>
      </c>
      <c r="J40" s="8">
        <f t="shared" si="6"/>
        <v>4.112714246480984</v>
      </c>
      <c r="K40" s="8">
        <f t="shared" si="7"/>
        <v>3.820287043446163</v>
      </c>
      <c r="L40" s="8">
        <f t="shared" si="8"/>
        <v>3.5386429898180074</v>
      </c>
      <c r="M40" s="8">
        <f t="shared" si="9"/>
        <v>3.2677820855965165</v>
      </c>
      <c r="N40" s="26">
        <f t="shared" si="10"/>
        <v>3.0077043307816895</v>
      </c>
    </row>
    <row r="41" spans="2:14" ht="12.75">
      <c r="B41" s="10">
        <v>10</v>
      </c>
      <c r="C41" s="12">
        <v>90</v>
      </c>
      <c r="D41" s="25">
        <f t="shared" si="3"/>
        <v>6.19498136627991</v>
      </c>
      <c r="E41" s="8">
        <f t="shared" si="4"/>
        <v>5.829923018286952</v>
      </c>
      <c r="F41" s="8">
        <f t="shared" si="0"/>
        <v>5.475949857628621</v>
      </c>
      <c r="G41" s="8">
        <f t="shared" si="1"/>
        <v>5.1330618843049205</v>
      </c>
      <c r="H41" s="8">
        <f t="shared" si="2"/>
        <v>4.801259098315845</v>
      </c>
      <c r="I41" s="8">
        <f t="shared" si="5"/>
        <v>4.4805414996614</v>
      </c>
      <c r="J41" s="8">
        <f t="shared" si="6"/>
        <v>4.170909088341578</v>
      </c>
      <c r="K41" s="8">
        <f t="shared" si="7"/>
        <v>3.8723618643563857</v>
      </c>
      <c r="L41" s="8">
        <f t="shared" si="8"/>
        <v>3.5848998277058226</v>
      </c>
      <c r="M41" s="8">
        <f t="shared" si="9"/>
        <v>3.308522978389886</v>
      </c>
      <c r="N41" s="26">
        <f t="shared" si="10"/>
        <v>3.0432313164085762</v>
      </c>
    </row>
    <row r="42" spans="2:14" ht="12.75">
      <c r="B42" s="10">
        <v>5</v>
      </c>
      <c r="C42" s="12">
        <v>95</v>
      </c>
      <c r="D42" s="25">
        <f t="shared" si="3"/>
        <v>6.297073498869952</v>
      </c>
      <c r="E42" s="8">
        <f t="shared" si="4"/>
        <v>5.924001551426197</v>
      </c>
      <c r="F42" s="8">
        <f t="shared" si="0"/>
        <v>5.562321001087732</v>
      </c>
      <c r="G42" s="8">
        <f t="shared" si="1"/>
        <v>5.212031847854557</v>
      </c>
      <c r="H42" s="8">
        <f t="shared" si="2"/>
        <v>4.873134091726673</v>
      </c>
      <c r="I42" s="8">
        <f t="shared" si="5"/>
        <v>4.545627732704079</v>
      </c>
      <c r="J42" s="8">
        <f t="shared" si="6"/>
        <v>4.2295127707867755</v>
      </c>
      <c r="K42" s="8">
        <f t="shared" si="7"/>
        <v>3.9247892059747627</v>
      </c>
      <c r="L42" s="8">
        <f t="shared" si="8"/>
        <v>3.6314570382680382</v>
      </c>
      <c r="M42" s="8">
        <f t="shared" si="9"/>
        <v>3.349516267666607</v>
      </c>
      <c r="N42" s="26">
        <f t="shared" si="10"/>
        <v>3.078966894170463</v>
      </c>
    </row>
    <row r="43" spans="2:14" ht="13.5" thickBot="1">
      <c r="B43" s="13">
        <v>0</v>
      </c>
      <c r="C43" s="14">
        <v>100</v>
      </c>
      <c r="D43" s="27">
        <f t="shared" si="3"/>
        <v>6.4</v>
      </c>
      <c r="E43" s="28">
        <f t="shared" si="4"/>
        <v>6.018833102172796</v>
      </c>
      <c r="F43" s="28">
        <f t="shared" si="0"/>
        <v>5.649367983064248</v>
      </c>
      <c r="G43" s="28">
        <f t="shared" si="1"/>
        <v>5.291604642674348</v>
      </c>
      <c r="H43" s="28">
        <f t="shared" si="2"/>
        <v>4.945543081003107</v>
      </c>
      <c r="I43" s="28">
        <f t="shared" si="5"/>
        <v>4.611183298050514</v>
      </c>
      <c r="J43" s="28">
        <f t="shared" si="6"/>
        <v>4.2885252938165745</v>
      </c>
      <c r="K43" s="28">
        <f t="shared" si="7"/>
        <v>3.9775690683012908</v>
      </c>
      <c r="L43" s="28">
        <f t="shared" si="8"/>
        <v>3.678314621504658</v>
      </c>
      <c r="M43" s="28">
        <f t="shared" si="9"/>
        <v>3.390761953426679</v>
      </c>
      <c r="N43" s="29">
        <f t="shared" si="10"/>
        <v>3.1149110640673516</v>
      </c>
    </row>
    <row r="44" spans="2:14" ht="13.5" thickTop="1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2.7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2.75">
      <c r="B46" s="2" t="s">
        <v>61</v>
      </c>
    </row>
    <row r="47" spans="2:3" ht="13.5" thickBot="1">
      <c r="B47" s="3" t="s">
        <v>54</v>
      </c>
      <c r="C47" s="4">
        <f>D15</f>
        <v>50</v>
      </c>
    </row>
    <row r="48" spans="2:14" ht="13.5" thickTop="1">
      <c r="B48" s="15" t="s">
        <v>2</v>
      </c>
      <c r="C48" s="9"/>
      <c r="D48" s="130" t="s">
        <v>0</v>
      </c>
      <c r="E48" s="97"/>
      <c r="F48" s="97"/>
      <c r="G48" s="97"/>
      <c r="H48" s="97"/>
      <c r="I48" s="97"/>
      <c r="J48" s="97"/>
      <c r="K48" s="97"/>
      <c r="L48" s="97"/>
      <c r="M48" s="97"/>
      <c r="N48" s="98"/>
    </row>
    <row r="49" spans="2:14" ht="13.5" thickBot="1">
      <c r="B49" s="10" t="str">
        <f>B22</f>
        <v>Quartz</v>
      </c>
      <c r="C49" s="11" t="str">
        <f>C22</f>
        <v>Mica</v>
      </c>
      <c r="D49" s="6">
        <v>0</v>
      </c>
      <c r="E49" s="6">
        <v>5</v>
      </c>
      <c r="F49" s="6">
        <v>10</v>
      </c>
      <c r="G49" s="6">
        <v>15</v>
      </c>
      <c r="H49" s="6">
        <v>20</v>
      </c>
      <c r="I49" s="6">
        <v>25</v>
      </c>
      <c r="J49" s="6">
        <v>30</v>
      </c>
      <c r="K49" s="6">
        <v>35</v>
      </c>
      <c r="L49" s="6">
        <v>40</v>
      </c>
      <c r="M49" s="6">
        <v>45</v>
      </c>
      <c r="N49" s="7">
        <v>50</v>
      </c>
    </row>
    <row r="50" spans="2:14" ht="12.75">
      <c r="B50" s="10">
        <v>100</v>
      </c>
      <c r="C50" s="12">
        <v>0</v>
      </c>
      <c r="D50" s="22">
        <f>($D$15/100*$D$22/100*($D$12)^0.5+(1-$D$15/100)*$D$22/100*($D$11)^0.5+(1-$D$22/100)*B50/100*($D$9)^0.5+(1-$D$22/100)*C50/100*($D$10)^0.5)^2</f>
        <v>4.499999999999999</v>
      </c>
      <c r="E50" s="23">
        <f>($D$15/100*$E$22/100*($D$12)^0.5+(1-$D$15/100)*$E$22/100*($D$11)^0.5+(1-$E$22/100)*B50/100*($D$9)^0.5+(1-$E$22/100)*C50/100*($D$10)^0.5)^2</f>
        <v>5.1313771631908285</v>
      </c>
      <c r="F50" s="23">
        <f aca="true" t="shared" si="11" ref="F50:F70">($D$15/100*$F$22/100*($D$12)^0.5+(1-$D$15/100)*$F$22/100*($D$11)^0.5+(1-$F$22/100)*B50/100*($D$9)^0.5+(1-$F$22/100)*C50/100*($D$10)^0.5)^2</f>
        <v>5.804188309203678</v>
      </c>
      <c r="G50" s="23">
        <f aca="true" t="shared" si="12" ref="G50:G70">($D$15/100*$G$22/100*($D$12)^0.5+(1-$D$15/100)*$G$22/100*($D$11)^0.5+(1-$G$22/100)*B50/100*($D$9)^0.5+(1-$G$22/100)*C50/100*($D$10)^0.5)^2</f>
        <v>6.518433438038542</v>
      </c>
      <c r="H50" s="44">
        <f aca="true" t="shared" si="13" ref="H50:H70">($D$15/100*$H$22/100*($D$12)^0.5+(1-$D$15/100)*$H$22/100*($D$11)^0.5+(1-$H$22/100)*B50/100*($D$9)^0.5+(1-$H$22/100)*C50/100*($D$10)^0.5)^2</f>
        <v>7.274112549695429</v>
      </c>
      <c r="I50" s="44">
        <f>($D$15/100*$I$22/100*($D$12)^0.5+(1-$D$15/100)*$I$22/100*($D$11)^0.5+(1-$I$22/100)*B50/100*($D$9)^0.5+(1-$I$22/100)*C50/100*($D$10)^0.5)^2</f>
        <v>8.07122564417433</v>
      </c>
      <c r="J50" s="44">
        <f>($D$15/100*$J$22/100*($D$12)^0.5+(1-$D$15/100)*$J$22/100*($D$11)^0.5+(1-$J$22/100)*B50/100*($D$9)^0.5+(1-$J$22/100)*C50/100*($D$10)^0.5)^2</f>
        <v>8.909772721475248</v>
      </c>
      <c r="K50" s="44">
        <f>($D$15/100*$K$22/100*($D$12)^0.5+(1-$D$15/100)*$K$22/100*($D$11)^0.5+(1-$K$22/100)*B50/100*($D$9)^0.5+(1-$K$22/100)*C50/100*($D$10)^0.5)^2</f>
        <v>9.789753781598186</v>
      </c>
      <c r="L50" s="44">
        <f>($D$15/100*$L$22/100*($D$12)^0.5+(1-$D$15/100)*$L$22/100*($D$11)^0.5+(1-$L$22/100)*B50/100*($D$9)^0.5+(1-$L$22/100)*C50/100*($D$10)^0.5)^2</f>
        <v>10.711168824543144</v>
      </c>
      <c r="M50" s="23">
        <f>($D$15/100*$M$22/100*($D$12)^0.5+(1-$D$15/100)*$M$22/100*($D$11)^0.5+(1-$M$22/100)*B50/100*($D$9)^0.5+(1-$M$22/100)*C50/100*($D$10)^0.5)^2</f>
        <v>11.674017850310115</v>
      </c>
      <c r="N50" s="24">
        <f>($D$15/100*$N$22/100*($D$12)^0.5+(1-$D$15/100)*$N$22/100*($D$11)^0.5+(1-$N$22/100)*B50/100*($D$9)^0.5+(1-$N$22/100)*C50/100*($D$10)^0.5)^2</f>
        <v>12.678300858899105</v>
      </c>
    </row>
    <row r="51" spans="2:14" ht="12.75">
      <c r="B51" s="10">
        <v>95</v>
      </c>
      <c r="C51" s="12">
        <v>5</v>
      </c>
      <c r="D51" s="25">
        <f aca="true" t="shared" si="14" ref="D51:D70">($D$15/100*$D$22/100*($D$12)^0.5+(1-$D$15/100)*$D$22/100*($D$11)^0.5+(1-$D$22/100)*B51/100*($D$9)^0.5+(1-$D$22/100)*C51/100*($D$10)^0.5)^2</f>
        <v>4.58707349886995</v>
      </c>
      <c r="E51" s="8">
        <f aca="true" t="shared" si="15" ref="E51:E70">($D$15/100*$E$22/100*($D$12)^0.5+(1-$D$15/100)*$E$22/100*($D$11)^0.5+(1-$E$22/100)*B51/100*($D$9)^0.5+(1-$E$22/100)*C51/100*($D$10)^0.5)^2</f>
        <v>5.219662913304619</v>
      </c>
      <c r="F51" s="8">
        <f t="shared" si="11"/>
        <v>5.893100423594215</v>
      </c>
      <c r="G51" s="8">
        <f t="shared" si="12"/>
        <v>6.607386029738742</v>
      </c>
      <c r="H51" s="45">
        <f t="shared" si="13"/>
        <v>7.362519731738202</v>
      </c>
      <c r="I51" s="45">
        <f aca="true" t="shared" si="16" ref="I51:I70">($D$15/100*$I$22/100*($D$12)^0.5+(1-$D$15/100)*$I$22/100*($D$11)^0.5+(1-$I$22/100)*B51/100*($D$9)^0.5+(1-$I$22/100)*C51/100*($D$10)^0.5)^2</f>
        <v>8.15850152959259</v>
      </c>
      <c r="J51" s="45">
        <f aca="true" t="shared" si="17" ref="J51:J70">($D$15/100*$J$22/100*($D$12)^0.5+(1-$D$15/100)*$J$22/100*($D$11)^0.5+(1-$J$22/100)*B51/100*($D$9)^0.5+(1-$J$22/100)*C51/100*($D$10)^0.5)^2</f>
        <v>8.995331423301904</v>
      </c>
      <c r="K51" s="45">
        <f aca="true" t="shared" si="18" ref="K51:K70">($D$15/100*$K$22/100*($D$12)^0.5+(1-$D$15/100)*$K$22/100*($D$11)^0.5+(1-$K$22/100)*B51/100*($D$9)^0.5+(1-$K$22/100)*C51/100*($D$10)^0.5)^2</f>
        <v>9.873009412866155</v>
      </c>
      <c r="L51" s="45">
        <f aca="true" t="shared" si="19" ref="L51:L70">($D$15/100*$L$22/100*($D$12)^0.5+(1-$D$15/100)*$L$22/100*($D$11)^0.5+(1-$L$22/100)*B51/100*($D$9)^0.5+(1-$L$22/100)*C51/100*($D$10)^0.5)^2</f>
        <v>10.791535498285333</v>
      </c>
      <c r="M51" s="8">
        <f aca="true" t="shared" si="20" ref="M51:M70">($D$15/100*$M$22/100*($D$12)^0.5+(1-$D$15/100)*$M$22/100*($D$11)^0.5+(1-$M$22/100)*B51/100*($D$9)^0.5+(1-$M$22/100)*C51/100*($D$10)^0.5)^2</f>
        <v>11.750909679559442</v>
      </c>
      <c r="N51" s="26">
        <f aca="true" t="shared" si="21" ref="N51:N70">($D$15/100*$N$22/100*($D$12)^0.5+(1-$D$15/100)*$N$22/100*($D$11)^0.5+(1-$N$22/100)*B51/100*($D$9)^0.5+(1-$N$22/100)*C51/100*($D$10)^0.5)^2</f>
        <v>12.751131956688477</v>
      </c>
    </row>
    <row r="52" spans="2:14" ht="12.75">
      <c r="B52" s="10">
        <v>90</v>
      </c>
      <c r="C52" s="12">
        <v>10</v>
      </c>
      <c r="D52" s="25">
        <f t="shared" si="14"/>
        <v>4.674981366279908</v>
      </c>
      <c r="E52" s="8">
        <f t="shared" si="15"/>
        <v>5.308701681025763</v>
      </c>
      <c r="F52" s="8">
        <f t="shared" si="11"/>
        <v>5.982688376502159</v>
      </c>
      <c r="G52" s="8">
        <f t="shared" si="12"/>
        <v>6.696941452709097</v>
      </c>
      <c r="H52" s="8">
        <f t="shared" si="13"/>
        <v>7.4514609096465785</v>
      </c>
      <c r="I52" s="8">
        <f t="shared" si="16"/>
        <v>8.246246747314602</v>
      </c>
      <c r="J52" s="8">
        <f t="shared" si="17"/>
        <v>9.081298965713163</v>
      </c>
      <c r="K52" s="8">
        <f t="shared" si="18"/>
        <v>9.956617564842272</v>
      </c>
      <c r="L52" s="8">
        <f t="shared" si="19"/>
        <v>10.872202544701926</v>
      </c>
      <c r="M52" s="8">
        <f t="shared" si="20"/>
        <v>11.828053905292116</v>
      </c>
      <c r="N52" s="26">
        <f t="shared" si="21"/>
        <v>12.824171646612848</v>
      </c>
    </row>
    <row r="53" spans="2:14" ht="12.75">
      <c r="B53" s="10">
        <v>85</v>
      </c>
      <c r="C53" s="12">
        <v>15</v>
      </c>
      <c r="D53" s="25">
        <f t="shared" si="14"/>
        <v>4.76372360222987</v>
      </c>
      <c r="E53" s="8">
        <f t="shared" si="15"/>
        <v>5.398493466354261</v>
      </c>
      <c r="F53" s="8">
        <f t="shared" si="11"/>
        <v>6.0729521679275065</v>
      </c>
      <c r="G53" s="8">
        <f t="shared" si="12"/>
        <v>6.787099706949606</v>
      </c>
      <c r="H53" s="8">
        <f t="shared" si="13"/>
        <v>7.54093608342056</v>
      </c>
      <c r="I53" s="8">
        <f t="shared" si="16"/>
        <v>8.334461297340365</v>
      </c>
      <c r="J53" s="8">
        <f t="shared" si="17"/>
        <v>9.167675348709027</v>
      </c>
      <c r="K53" s="8">
        <f t="shared" si="18"/>
        <v>10.040578237526544</v>
      </c>
      <c r="L53" s="8">
        <f t="shared" si="19"/>
        <v>10.953169963792918</v>
      </c>
      <c r="M53" s="8">
        <f t="shared" si="20"/>
        <v>11.905450527508144</v>
      </c>
      <c r="N53" s="26">
        <f t="shared" si="21"/>
        <v>12.897419928672223</v>
      </c>
    </row>
    <row r="54" spans="2:14" ht="12.75">
      <c r="B54" s="10">
        <v>80</v>
      </c>
      <c r="C54" s="12">
        <v>20</v>
      </c>
      <c r="D54" s="25">
        <f t="shared" si="14"/>
        <v>4.8533002067198385</v>
      </c>
      <c r="E54" s="8">
        <f t="shared" si="15"/>
        <v>5.4890382692901145</v>
      </c>
      <c r="F54" s="8">
        <f t="shared" si="11"/>
        <v>6.163891797870258</v>
      </c>
      <c r="G54" s="8">
        <f t="shared" si="12"/>
        <v>6.877860792460267</v>
      </c>
      <c r="H54" s="8">
        <f t="shared" si="13"/>
        <v>7.630945253060142</v>
      </c>
      <c r="I54" s="8">
        <f t="shared" si="16"/>
        <v>8.423145179669886</v>
      </c>
      <c r="J54" s="8">
        <f t="shared" si="17"/>
        <v>9.254460572289494</v>
      </c>
      <c r="K54" s="8">
        <f t="shared" si="18"/>
        <v>10.124891430918971</v>
      </c>
      <c r="L54" s="8">
        <f t="shared" si="19"/>
        <v>11.034437755558313</v>
      </c>
      <c r="M54" s="8">
        <f t="shared" si="20"/>
        <v>11.983099546207523</v>
      </c>
      <c r="N54" s="26">
        <f t="shared" si="21"/>
        <v>12.970876802866597</v>
      </c>
    </row>
    <row r="55" spans="2:14" ht="12.75">
      <c r="B55" s="10">
        <v>75</v>
      </c>
      <c r="C55" s="12">
        <v>25</v>
      </c>
      <c r="D55" s="25">
        <f t="shared" si="14"/>
        <v>4.943711179749811</v>
      </c>
      <c r="E55" s="8">
        <f t="shared" si="15"/>
        <v>5.580336089833324</v>
      </c>
      <c r="F55" s="8">
        <f t="shared" si="11"/>
        <v>6.255507266330415</v>
      </c>
      <c r="G55" s="8">
        <f t="shared" si="12"/>
        <v>6.96922470924108</v>
      </c>
      <c r="H55" s="8">
        <f t="shared" si="13"/>
        <v>7.721488418565333</v>
      </c>
      <c r="I55" s="8">
        <f t="shared" si="16"/>
        <v>8.512298394303158</v>
      </c>
      <c r="J55" s="8">
        <f t="shared" si="17"/>
        <v>9.34165463645456</v>
      </c>
      <c r="K55" s="8">
        <f t="shared" si="18"/>
        <v>10.209557145019549</v>
      </c>
      <c r="L55" s="8">
        <f t="shared" si="19"/>
        <v>11.11600591999811</v>
      </c>
      <c r="M55" s="8">
        <f t="shared" si="20"/>
        <v>12.061000961390251</v>
      </c>
      <c r="N55" s="26">
        <f t="shared" si="21"/>
        <v>13.044542269195974</v>
      </c>
    </row>
    <row r="56" spans="2:14" ht="12.75">
      <c r="B56" s="10">
        <v>70</v>
      </c>
      <c r="C56" s="12">
        <v>30</v>
      </c>
      <c r="D56" s="25">
        <f t="shared" si="14"/>
        <v>5.0349565213197875</v>
      </c>
      <c r="E56" s="8">
        <f t="shared" si="15"/>
        <v>5.672386927983886</v>
      </c>
      <c r="F56" s="8">
        <f t="shared" si="11"/>
        <v>6.347798573307973</v>
      </c>
      <c r="G56" s="8">
        <f t="shared" si="12"/>
        <v>7.06119145729205</v>
      </c>
      <c r="H56" s="8">
        <f t="shared" si="13"/>
        <v>7.81256557993612</v>
      </c>
      <c r="I56" s="8">
        <f t="shared" si="16"/>
        <v>8.601920941240182</v>
      </c>
      <c r="J56" s="8">
        <f t="shared" si="17"/>
        <v>9.42925754120423</v>
      </c>
      <c r="K56" s="8">
        <f t="shared" si="18"/>
        <v>10.294575379828277</v>
      </c>
      <c r="L56" s="8">
        <f t="shared" si="19"/>
        <v>11.19787445711231</v>
      </c>
      <c r="M56" s="8">
        <f t="shared" si="20"/>
        <v>12.139154773056335</v>
      </c>
      <c r="N56" s="26">
        <f t="shared" si="21"/>
        <v>13.118416327660347</v>
      </c>
    </row>
    <row r="57" spans="2:14" ht="12.75">
      <c r="B57" s="10">
        <v>65</v>
      </c>
      <c r="C57" s="12">
        <v>35</v>
      </c>
      <c r="D57" s="25">
        <f t="shared" si="14"/>
        <v>5.12703623142977</v>
      </c>
      <c r="E57" s="8">
        <f t="shared" si="15"/>
        <v>5.765190783741802</v>
      </c>
      <c r="F57" s="8">
        <f t="shared" si="11"/>
        <v>6.440765718802937</v>
      </c>
      <c r="G57" s="8">
        <f t="shared" si="12"/>
        <v>7.1537610366131705</v>
      </c>
      <c r="H57" s="8">
        <f t="shared" si="13"/>
        <v>7.904176737172515</v>
      </c>
      <c r="I57" s="8">
        <f t="shared" si="16"/>
        <v>8.692012820480961</v>
      </c>
      <c r="J57" s="8">
        <f t="shared" si="17"/>
        <v>9.517269286538504</v>
      </c>
      <c r="K57" s="8">
        <f t="shared" si="18"/>
        <v>10.379946135345156</v>
      </c>
      <c r="L57" s="8">
        <f t="shared" si="19"/>
        <v>11.280043366900909</v>
      </c>
      <c r="M57" s="8">
        <f t="shared" si="20"/>
        <v>12.217560981205766</v>
      </c>
      <c r="N57" s="26">
        <f t="shared" si="21"/>
        <v>13.192498978259728</v>
      </c>
    </row>
    <row r="58" spans="2:14" ht="12.75">
      <c r="B58" s="10">
        <v>60</v>
      </c>
      <c r="C58" s="12">
        <v>40</v>
      </c>
      <c r="D58" s="25">
        <f t="shared" si="14"/>
        <v>5.219950310079758</v>
      </c>
      <c r="E58" s="8">
        <f t="shared" si="15"/>
        <v>5.858747657107073</v>
      </c>
      <c r="F58" s="8">
        <f t="shared" si="11"/>
        <v>6.5344087028153055</v>
      </c>
      <c r="G58" s="8">
        <f t="shared" si="12"/>
        <v>7.2469334472044515</v>
      </c>
      <c r="H58" s="8">
        <f t="shared" si="13"/>
        <v>7.996321890274513</v>
      </c>
      <c r="I58" s="8">
        <f t="shared" si="16"/>
        <v>8.782574032025488</v>
      </c>
      <c r="J58" s="8">
        <f t="shared" si="17"/>
        <v>9.605689872457381</v>
      </c>
      <c r="K58" s="45">
        <f t="shared" si="18"/>
        <v>10.465669411570188</v>
      </c>
      <c r="L58" s="8">
        <f t="shared" si="19"/>
        <v>11.36251264936391</v>
      </c>
      <c r="M58" s="8">
        <f t="shared" si="20"/>
        <v>12.296219585838552</v>
      </c>
      <c r="N58" s="26">
        <f t="shared" si="21"/>
        <v>13.266790220994109</v>
      </c>
    </row>
    <row r="59" spans="2:14" ht="12.75">
      <c r="B59" s="10">
        <v>55</v>
      </c>
      <c r="C59" s="12">
        <v>45</v>
      </c>
      <c r="D59" s="25">
        <f t="shared" si="14"/>
        <v>5.313698757269751</v>
      </c>
      <c r="E59" s="8">
        <f t="shared" si="15"/>
        <v>5.953057548079698</v>
      </c>
      <c r="F59" s="8">
        <f t="shared" si="11"/>
        <v>6.6287275253450755</v>
      </c>
      <c r="G59" s="8">
        <f t="shared" si="12"/>
        <v>7.340708689065881</v>
      </c>
      <c r="H59" s="8">
        <f t="shared" si="13"/>
        <v>8.089001039242111</v>
      </c>
      <c r="I59" s="8">
        <f t="shared" si="16"/>
        <v>8.873604575873768</v>
      </c>
      <c r="J59" s="8">
        <f t="shared" si="17"/>
        <v>9.694519298960858</v>
      </c>
      <c r="K59" s="8">
        <f t="shared" si="18"/>
        <v>10.551745208503373</v>
      </c>
      <c r="L59" s="8">
        <f t="shared" si="19"/>
        <v>11.44528230450132</v>
      </c>
      <c r="M59" s="8">
        <f t="shared" si="20"/>
        <v>12.37513058695469</v>
      </c>
      <c r="N59" s="26">
        <f t="shared" si="21"/>
        <v>13.341290055863485</v>
      </c>
    </row>
    <row r="60" spans="2:14" ht="12.75">
      <c r="B60" s="10">
        <v>50</v>
      </c>
      <c r="C60" s="12">
        <v>50</v>
      </c>
      <c r="D60" s="25">
        <f t="shared" si="14"/>
        <v>5.408281572999748</v>
      </c>
      <c r="E60" s="8">
        <f t="shared" si="15"/>
        <v>6.048120456659679</v>
      </c>
      <c r="F60" s="8">
        <f t="shared" si="11"/>
        <v>6.7237221863922505</v>
      </c>
      <c r="G60" s="8">
        <f t="shared" si="12"/>
        <v>7.435086762197462</v>
      </c>
      <c r="H60" s="8">
        <f t="shared" si="13"/>
        <v>8.182214184075319</v>
      </c>
      <c r="I60" s="8">
        <f t="shared" si="16"/>
        <v>8.965104452025809</v>
      </c>
      <c r="J60" s="8">
        <f t="shared" si="17"/>
        <v>9.783757566048935</v>
      </c>
      <c r="K60" s="8">
        <f t="shared" si="18"/>
        <v>10.638173526144714</v>
      </c>
      <c r="L60" s="8">
        <f t="shared" si="19"/>
        <v>11.528352332313125</v>
      </c>
      <c r="M60" s="8">
        <f t="shared" si="20"/>
        <v>12.454293984554177</v>
      </c>
      <c r="N60" s="26">
        <f t="shared" si="21"/>
        <v>13.415998482867868</v>
      </c>
    </row>
    <row r="61" spans="2:14" ht="12.75">
      <c r="B61" s="10">
        <v>45</v>
      </c>
      <c r="C61" s="12">
        <v>55</v>
      </c>
      <c r="D61" s="25">
        <f t="shared" si="14"/>
        <v>5.503698757269751</v>
      </c>
      <c r="E61" s="8">
        <f t="shared" si="15"/>
        <v>6.143936382847014</v>
      </c>
      <c r="F61" s="8">
        <f t="shared" si="11"/>
        <v>6.819392685956831</v>
      </c>
      <c r="G61" s="8">
        <f t="shared" si="12"/>
        <v>7.530067666599201</v>
      </c>
      <c r="H61" s="8">
        <f t="shared" si="13"/>
        <v>8.275961324774123</v>
      </c>
      <c r="I61" s="8">
        <f t="shared" si="16"/>
        <v>9.057073660481596</v>
      </c>
      <c r="J61" s="8">
        <f t="shared" si="17"/>
        <v>9.87340467372162</v>
      </c>
      <c r="K61" s="8">
        <f t="shared" si="18"/>
        <v>10.7249543644942</v>
      </c>
      <c r="L61" s="8">
        <f t="shared" si="19"/>
        <v>11.611722732799333</v>
      </c>
      <c r="M61" s="8">
        <f t="shared" si="20"/>
        <v>12.533709778637018</v>
      </c>
      <c r="N61" s="26">
        <f t="shared" si="21"/>
        <v>13.490915502007255</v>
      </c>
    </row>
    <row r="62" spans="2:14" ht="12.75">
      <c r="B62" s="10">
        <v>40</v>
      </c>
      <c r="C62" s="12">
        <v>60</v>
      </c>
      <c r="D62" s="25">
        <f t="shared" si="14"/>
        <v>5.599950310079756</v>
      </c>
      <c r="E62" s="8">
        <f t="shared" si="15"/>
        <v>6.240505326641703</v>
      </c>
      <c r="F62" s="8">
        <f t="shared" si="11"/>
        <v>6.915739024038816</v>
      </c>
      <c r="G62" s="8">
        <f t="shared" si="12"/>
        <v>7.6256514022710915</v>
      </c>
      <c r="H62" s="8">
        <f t="shared" si="13"/>
        <v>8.370242461338531</v>
      </c>
      <c r="I62" s="8">
        <f t="shared" si="16"/>
        <v>9.149512201241139</v>
      </c>
      <c r="J62" s="8">
        <f t="shared" si="17"/>
        <v>9.963460621978907</v>
      </c>
      <c r="K62" s="8">
        <f t="shared" si="18"/>
        <v>10.812087723551844</v>
      </c>
      <c r="L62" s="8">
        <f t="shared" si="19"/>
        <v>11.695393505959942</v>
      </c>
      <c r="M62" s="8">
        <f t="shared" si="20"/>
        <v>12.613377969203206</v>
      </c>
      <c r="N62" s="26">
        <f t="shared" si="21"/>
        <v>13.566041113281639</v>
      </c>
    </row>
    <row r="63" spans="2:14" ht="12.75">
      <c r="B63" s="10">
        <v>35</v>
      </c>
      <c r="C63" s="12">
        <v>65</v>
      </c>
      <c r="D63" s="25">
        <f t="shared" si="14"/>
        <v>5.69703623142977</v>
      </c>
      <c r="E63" s="8">
        <f t="shared" si="15"/>
        <v>6.337827288043749</v>
      </c>
      <c r="F63" s="8">
        <f t="shared" si="11"/>
        <v>7.012761200638204</v>
      </c>
      <c r="G63" s="8">
        <f t="shared" si="12"/>
        <v>7.721837969213135</v>
      </c>
      <c r="H63" s="8">
        <f t="shared" si="13"/>
        <v>8.465057593768543</v>
      </c>
      <c r="I63" s="8">
        <f t="shared" si="16"/>
        <v>9.24242007430443</v>
      </c>
      <c r="J63" s="8">
        <f t="shared" si="17"/>
        <v>10.053925410820794</v>
      </c>
      <c r="K63" s="8">
        <f t="shared" si="18"/>
        <v>10.899573603317636</v>
      </c>
      <c r="L63" s="8">
        <f t="shared" si="19"/>
        <v>11.779364651794955</v>
      </c>
      <c r="M63" s="8">
        <f t="shared" si="20"/>
        <v>12.69329855625275</v>
      </c>
      <c r="N63" s="26">
        <f t="shared" si="21"/>
        <v>13.641375316691022</v>
      </c>
    </row>
    <row r="64" spans="2:14" ht="12.75">
      <c r="B64" s="10">
        <v>30</v>
      </c>
      <c r="C64" s="12">
        <v>70</v>
      </c>
      <c r="D64" s="25">
        <f t="shared" si="14"/>
        <v>5.794956521319788</v>
      </c>
      <c r="E64" s="8">
        <f t="shared" si="15"/>
        <v>6.435902267053147</v>
      </c>
      <c r="F64" s="8">
        <f t="shared" si="11"/>
        <v>7.110459215754995</v>
      </c>
      <c r="G64" s="8">
        <f t="shared" si="12"/>
        <v>7.818627367425333</v>
      </c>
      <c r="H64" s="8">
        <f t="shared" si="13"/>
        <v>8.560406722064164</v>
      </c>
      <c r="I64" s="8">
        <f t="shared" si="16"/>
        <v>9.335797279671478</v>
      </c>
      <c r="J64" s="8">
        <f t="shared" si="17"/>
        <v>10.144799040247282</v>
      </c>
      <c r="K64" s="8">
        <f t="shared" si="18"/>
        <v>10.987412003791581</v>
      </c>
      <c r="L64" s="8">
        <f t="shared" si="19"/>
        <v>11.863636170304368</v>
      </c>
      <c r="M64" s="8">
        <f t="shared" si="20"/>
        <v>12.773471539785643</v>
      </c>
      <c r="N64" s="26">
        <f t="shared" si="21"/>
        <v>13.716918112235408</v>
      </c>
    </row>
    <row r="65" spans="2:14" ht="12.75">
      <c r="B65" s="10">
        <v>25</v>
      </c>
      <c r="C65" s="12">
        <v>75</v>
      </c>
      <c r="D65" s="25">
        <f t="shared" si="14"/>
        <v>5.893711179749809</v>
      </c>
      <c r="E65" s="8">
        <f t="shared" si="15"/>
        <v>6.5347302636699</v>
      </c>
      <c r="F65" s="8">
        <f t="shared" si="11"/>
        <v>7.208833069389192</v>
      </c>
      <c r="G65" s="8">
        <f t="shared" si="12"/>
        <v>7.9160195969076845</v>
      </c>
      <c r="H65" s="8">
        <f t="shared" si="13"/>
        <v>8.65628984622538</v>
      </c>
      <c r="I65" s="8">
        <f t="shared" si="16"/>
        <v>9.42964381734228</v>
      </c>
      <c r="J65" s="8">
        <f t="shared" si="17"/>
        <v>10.236081510258376</v>
      </c>
      <c r="K65" s="8">
        <f t="shared" si="18"/>
        <v>11.07560292497368</v>
      </c>
      <c r="L65" s="8">
        <f t="shared" si="19"/>
        <v>11.948208061488184</v>
      </c>
      <c r="M65" s="8">
        <f t="shared" si="20"/>
        <v>12.853896919801889</v>
      </c>
      <c r="N65" s="26">
        <f t="shared" si="21"/>
        <v>13.792669499914796</v>
      </c>
    </row>
    <row r="66" spans="2:14" ht="12.75">
      <c r="B66" s="10">
        <v>20</v>
      </c>
      <c r="C66" s="12">
        <v>80</v>
      </c>
      <c r="D66" s="25">
        <f t="shared" si="14"/>
        <v>5.99330020671984</v>
      </c>
      <c r="E66" s="8">
        <f t="shared" si="15"/>
        <v>6.634311277894008</v>
      </c>
      <c r="F66" s="8">
        <f t="shared" si="11"/>
        <v>7.307882761540791</v>
      </c>
      <c r="G66" s="8">
        <f t="shared" si="12"/>
        <v>8.014014657660192</v>
      </c>
      <c r="H66" s="8">
        <f t="shared" si="13"/>
        <v>8.752706966252202</v>
      </c>
      <c r="I66" s="8">
        <f t="shared" si="16"/>
        <v>9.52395968731683</v>
      </c>
      <c r="J66" s="8">
        <f t="shared" si="17"/>
        <v>10.327772820854072</v>
      </c>
      <c r="K66" s="8">
        <f t="shared" si="18"/>
        <v>11.164146366863932</v>
      </c>
      <c r="L66" s="8">
        <f t="shared" si="19"/>
        <v>12.0330803253464</v>
      </c>
      <c r="M66" s="8">
        <f t="shared" si="20"/>
        <v>12.934574696301487</v>
      </c>
      <c r="N66" s="26">
        <f t="shared" si="21"/>
        <v>13.868629479729188</v>
      </c>
    </row>
    <row r="67" spans="2:14" ht="12.75">
      <c r="B67" s="10">
        <v>15</v>
      </c>
      <c r="C67" s="12">
        <v>85</v>
      </c>
      <c r="D67" s="25">
        <f t="shared" si="14"/>
        <v>6.093723602229869</v>
      </c>
      <c r="E67" s="8">
        <f t="shared" si="15"/>
        <v>6.734645309725469</v>
      </c>
      <c r="F67" s="8">
        <f t="shared" si="11"/>
        <v>7.4076082922097966</v>
      </c>
      <c r="G67" s="8">
        <f t="shared" si="12"/>
        <v>8.112612549682847</v>
      </c>
      <c r="H67" s="8">
        <f t="shared" si="13"/>
        <v>8.849658082144629</v>
      </c>
      <c r="I67" s="8">
        <f t="shared" si="16"/>
        <v>9.618744889595135</v>
      </c>
      <c r="J67" s="8">
        <f t="shared" si="17"/>
        <v>10.419872972034367</v>
      </c>
      <c r="K67" s="8">
        <f t="shared" si="18"/>
        <v>11.253042329462332</v>
      </c>
      <c r="L67" s="8">
        <f t="shared" si="19"/>
        <v>12.118252961879021</v>
      </c>
      <c r="M67" s="8">
        <f t="shared" si="20"/>
        <v>13.01550486928444</v>
      </c>
      <c r="N67" s="26">
        <f t="shared" si="21"/>
        <v>13.94479805167858</v>
      </c>
    </row>
    <row r="68" spans="2:14" ht="12.75">
      <c r="B68" s="10">
        <v>10</v>
      </c>
      <c r="C68" s="12">
        <v>90</v>
      </c>
      <c r="D68" s="25">
        <f t="shared" si="14"/>
        <v>6.19498136627991</v>
      </c>
      <c r="E68" s="8">
        <f t="shared" si="15"/>
        <v>6.835732359164286</v>
      </c>
      <c r="F68" s="8">
        <f t="shared" si="11"/>
        <v>7.508009661396206</v>
      </c>
      <c r="G68" s="8">
        <f t="shared" si="12"/>
        <v>8.211813272975661</v>
      </c>
      <c r="H68" s="8">
        <f t="shared" si="13"/>
        <v>8.94714319390266</v>
      </c>
      <c r="I68" s="8">
        <f t="shared" si="16"/>
        <v>9.713999424177196</v>
      </c>
      <c r="J68" s="8">
        <f t="shared" si="17"/>
        <v>10.512381963799267</v>
      </c>
      <c r="K68" s="8">
        <f t="shared" si="18"/>
        <v>11.342290812768885</v>
      </c>
      <c r="L68" s="8">
        <f t="shared" si="19"/>
        <v>12.203725971086044</v>
      </c>
      <c r="M68" s="8">
        <f t="shared" si="20"/>
        <v>13.096687438750736</v>
      </c>
      <c r="N68" s="26">
        <f t="shared" si="21"/>
        <v>14.021175215762968</v>
      </c>
    </row>
    <row r="69" spans="2:14" ht="12.75">
      <c r="B69" s="10">
        <v>5</v>
      </c>
      <c r="C69" s="12">
        <v>95</v>
      </c>
      <c r="D69" s="25">
        <f t="shared" si="14"/>
        <v>6.297073498869952</v>
      </c>
      <c r="E69" s="8">
        <f t="shared" si="15"/>
        <v>6.937572426210459</v>
      </c>
      <c r="F69" s="8">
        <f t="shared" si="11"/>
        <v>7.609086869100016</v>
      </c>
      <c r="G69" s="8">
        <f t="shared" si="12"/>
        <v>8.311616827538627</v>
      </c>
      <c r="H69" s="8">
        <f t="shared" si="13"/>
        <v>9.045162301526291</v>
      </c>
      <c r="I69" s="8">
        <f t="shared" si="16"/>
        <v>9.809723291063008</v>
      </c>
      <c r="J69" s="8">
        <f t="shared" si="17"/>
        <v>10.60529979614877</v>
      </c>
      <c r="K69" s="8">
        <f t="shared" si="18"/>
        <v>11.431891816783592</v>
      </c>
      <c r="L69" s="8">
        <f t="shared" si="19"/>
        <v>12.289499352967463</v>
      </c>
      <c r="M69" s="8">
        <f t="shared" si="20"/>
        <v>13.178122404700389</v>
      </c>
      <c r="N69" s="26">
        <f t="shared" si="21"/>
        <v>14.097760971982364</v>
      </c>
    </row>
    <row r="70" spans="2:14" ht="13.5" thickBot="1">
      <c r="B70" s="13">
        <v>0</v>
      </c>
      <c r="C70" s="14">
        <v>100</v>
      </c>
      <c r="D70" s="27">
        <f t="shared" si="14"/>
        <v>6.4</v>
      </c>
      <c r="E70" s="28">
        <f t="shared" si="15"/>
        <v>7.040165510863985</v>
      </c>
      <c r="F70" s="28">
        <f t="shared" si="11"/>
        <v>7.710839915321234</v>
      </c>
      <c r="G70" s="28">
        <f t="shared" si="12"/>
        <v>8.412023213371747</v>
      </c>
      <c r="H70" s="28">
        <f t="shared" si="13"/>
        <v>9.143715405015527</v>
      </c>
      <c r="I70" s="28">
        <f t="shared" si="16"/>
        <v>9.905916490252569</v>
      </c>
      <c r="J70" s="28">
        <f t="shared" si="17"/>
        <v>10.698626469082877</v>
      </c>
      <c r="K70" s="28">
        <f t="shared" si="18"/>
        <v>11.52184534150645</v>
      </c>
      <c r="L70" s="28">
        <f t="shared" si="19"/>
        <v>12.375573107523289</v>
      </c>
      <c r="M70" s="28">
        <f t="shared" si="20"/>
        <v>13.259809767133392</v>
      </c>
      <c r="N70" s="29">
        <f t="shared" si="21"/>
        <v>14.174555320336761</v>
      </c>
    </row>
    <row r="71" spans="2:14" ht="13.5" thickTop="1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3" ht="12.75">
      <c r="B73" s="2" t="s">
        <v>62</v>
      </c>
    </row>
    <row r="74" spans="2:3" ht="13.5" thickBot="1">
      <c r="B74" s="3" t="s">
        <v>54</v>
      </c>
      <c r="C74" s="4">
        <f>D17</f>
        <v>0</v>
      </c>
    </row>
    <row r="75" spans="2:14" ht="13.5" thickTop="1">
      <c r="B75" s="15" t="s">
        <v>2</v>
      </c>
      <c r="C75" s="9"/>
      <c r="D75" s="130" t="s">
        <v>0</v>
      </c>
      <c r="E75" s="97"/>
      <c r="F75" s="97"/>
      <c r="G75" s="97"/>
      <c r="H75" s="97"/>
      <c r="I75" s="97"/>
      <c r="J75" s="97"/>
      <c r="K75" s="97"/>
      <c r="L75" s="97"/>
      <c r="M75" s="97"/>
      <c r="N75" s="98"/>
    </row>
    <row r="76" spans="2:14" ht="13.5" thickBot="1">
      <c r="B76" s="10" t="str">
        <f>B49</f>
        <v>Quartz</v>
      </c>
      <c r="C76" s="11" t="str">
        <f>C49</f>
        <v>Mica</v>
      </c>
      <c r="D76" s="6">
        <v>0</v>
      </c>
      <c r="E76" s="6">
        <v>5</v>
      </c>
      <c r="F76" s="6">
        <v>10</v>
      </c>
      <c r="G76" s="6">
        <v>15</v>
      </c>
      <c r="H76" s="6">
        <v>20</v>
      </c>
      <c r="I76" s="6">
        <v>25</v>
      </c>
      <c r="J76" s="6">
        <v>30</v>
      </c>
      <c r="K76" s="6">
        <v>35</v>
      </c>
      <c r="L76" s="6">
        <v>40</v>
      </c>
      <c r="M76" s="6">
        <v>45</v>
      </c>
      <c r="N76" s="7">
        <v>50</v>
      </c>
    </row>
    <row r="77" spans="2:14" ht="12.75">
      <c r="B77" s="10">
        <v>100</v>
      </c>
      <c r="C77" s="12">
        <v>0</v>
      </c>
      <c r="D77" s="22">
        <f>($D$16/100*$D$22/100*($D$12)^0.5+(1-$D$16/100)*$D$22/100*($D$11)^0.5+(1-$D$22/100)*B77/100*($D$9)^0.5+(1-$D$22/100)*C77/100*($D$10)^0.5)^2</f>
        <v>4.499999999999999</v>
      </c>
      <c r="E77" s="23">
        <f>($D$16/100*$E$22/100*($D$12)^0.5+(1-$D$16/100)*$E$22/100*($D$11)^0.5+(1-$E$22/100)*B77/100*($D$9)^0.5+(1-$E$22/100)*C77/100*($D$10)^0.5)^2</f>
        <v>6.077478893743494</v>
      </c>
      <c r="F77" s="23">
        <f aca="true" t="shared" si="22" ref="F77:F97">($D$16/100*$F$22/100*($D$12)^0.5+(1-$D$16/100)*$F$22/100*($D$11)^0.5+(1-$F$22/100)*B77/100*($D$9)^0.5+(1-$F$22/100)*C77/100*($D$10)^0.5)^2</f>
        <v>7.891538956566619</v>
      </c>
      <c r="G77" s="23">
        <f aca="true" t="shared" si="23" ref="G77:G97">($D$16/100*$G$22/100*($D$12)^0.5+(1-$D$16/100)*$G$22/100*($D$11)^0.5+(1-$G$22/100)*B77/100*($D$9)^0.5+(1-$G$22/100)*C77/100*($D$10)^0.5)^2</f>
        <v>9.942180188469377</v>
      </c>
      <c r="H77" s="44">
        <f aca="true" t="shared" si="24" ref="H77:H97">($D$16/100*$H$22/100*($D$12)^0.5+(1-$D$16/100)*$H$22/100*($D$11)^0.5+(1-$H$22/100)*B77/100*($D$9)^0.5+(1-$H$22/100)*C77/100*($D$10)^0.5)^2</f>
        <v>12.229402589451771</v>
      </c>
      <c r="I77" s="44">
        <f>($D$16/100*$I$22/100*($D$12)^0.5+(1-$D$16/100)*$I$22/100*($D$11)^0.5+(1-$I$22/100)*B77/100*($D$9)^0.5+(1-$I$22/100)*C77/100*($D$10)^0.5)^2</f>
        <v>14.753206159513793</v>
      </c>
      <c r="J77" s="44">
        <f>($D$16/100*$J$22/100*($D$12)^0.5+(1-$D$16/100)*$J$22/100*($D$11)^0.5+(1-$J$22/100)*B77/100*($D$9)^0.5+(1-$J$22/100)*C77/100*($D$10)^0.5)^2</f>
        <v>17.513590898655448</v>
      </c>
      <c r="K77" s="44">
        <f>($D$16/100*$K$22/100*($D$12)^0.5+(1-$D$16/100)*$K$22/100*($D$11)^0.5+(1-$K$22/100)*B77/100*($D$9)^0.5+(1-$K$22/100)*C77/100*($D$10)^0.5)^2</f>
        <v>20.510556806876732</v>
      </c>
      <c r="L77" s="44">
        <f>($D$16/100*$L$22/100*($D$12)^0.5+(1-$D$16/100)*$L$22/100*($D$11)^0.5+(1-$L$22/100)*B77/100*($D$9)^0.5+(1-$L$22/100)*C77/100*($D$10)^0.5)^2</f>
        <v>23.744103884177655</v>
      </c>
      <c r="M77" s="23">
        <f>($D$16/100*$M$22/100*($D$12)^0.5+(1-$D$16/100)*$M$22/100*($D$11)^0.5+(1-$M$22/100)*B77/100*($D$9)^0.5+(1-$M$22/100)*C77/100*($D$10)^0.5)^2</f>
        <v>27.21423213055821</v>
      </c>
      <c r="N77" s="24">
        <f>($D$16/100*$N$22/100*($D$12)^0.5+(1-$D$16/100)*$N$22/100*($D$11)^0.5+(1-$N$22/100)*B77/100*($D$9)^0.5+(1-$N$22/100)*C77/100*($D$10)^0.5)^2</f>
        <v>30.920941546018387</v>
      </c>
    </row>
    <row r="78" spans="2:14" ht="12.75">
      <c r="B78" s="10">
        <v>95</v>
      </c>
      <c r="C78" s="12">
        <v>5</v>
      </c>
      <c r="D78" s="25">
        <f aca="true" t="shared" si="25" ref="D78:D97">($D$16/100*$D$22/100*($D$12)^0.5+(1-$D$16/100)*$D$22/100*($D$11)^0.5+(1-$D$22/100)*B78/100*($D$9)^0.5+(1-$D$22/100)*C78/100*($D$10)^0.5)^2</f>
        <v>4.58707349886995</v>
      </c>
      <c r="E78" s="8">
        <f aca="true" t="shared" si="26" ref="E78:E97">($D$16/100*$E$22/100*($D$12)^0.5+(1-$D$16/100)*$E$22/100*($D$11)^0.5+(1-$E$22/100)*B78/100*($D$9)^0.5+(1-$E$22/100)*C78/100*($D$10)^0.5)^2</f>
        <v>6.17352617776421</v>
      </c>
      <c r="F78" s="8">
        <f t="shared" si="22"/>
        <v>7.9951571352018584</v>
      </c>
      <c r="G78" s="8">
        <f t="shared" si="23"/>
        <v>10.051966371182905</v>
      </c>
      <c r="H78" s="45">
        <f t="shared" si="24"/>
        <v>12.343953885707347</v>
      </c>
      <c r="I78" s="45">
        <f aca="true" t="shared" si="27" ref="I78:I97">($D$16/100*$I$22/100*($D$12)^0.5+(1-$D$16/100)*$I$22/100*($D$11)^0.5+(1-$I$22/100)*B78/100*($D$9)^0.5+(1-$I$22/100)*C78/100*($D$10)^0.5)^2</f>
        <v>14.871119678775184</v>
      </c>
      <c r="J78" s="45">
        <f aca="true" t="shared" si="28" ref="J78:J97">($D$16/100*$J$22/100*($D$12)^0.5+(1-$D$16/100)*$J$22/100*($D$11)^0.5+(1-$J$22/100)*B78/100*($D$9)^0.5+(1-$J$22/100)*C78/100*($D$10)^0.5)^2</f>
        <v>17.63346375038641</v>
      </c>
      <c r="K78" s="45">
        <f aca="true" t="shared" si="29" ref="K78:K97">($D$16/100*$K$22/100*($D$12)^0.5+(1-$D$16/100)*$K$22/100*($D$11)^0.5+(1-$K$22/100)*B78/100*($D$9)^0.5+(1-$K$22/100)*C78/100*($D$10)^0.5)^2</f>
        <v>20.630986100541033</v>
      </c>
      <c r="L78" s="45">
        <f aca="true" t="shared" si="30" ref="L78:L97">($D$16/100*$L$22/100*($D$12)^0.5+(1-$D$16/100)*$L$22/100*($D$11)^0.5+(1-$L$22/100)*B78/100*($D$9)^0.5+(1-$L$22/100)*C78/100*($D$10)^0.5)^2</f>
        <v>23.86368672923905</v>
      </c>
      <c r="M78" s="8">
        <f aca="true" t="shared" si="31" ref="M78:M97">($D$16/100*$M$22/100*($D$12)^0.5+(1-$D$16/100)*$M$22/100*($D$11)^0.5+(1-$M$22/100)*B78/100*($D$9)^0.5+(1-$M$22/100)*C78/100*($D$10)^0.5)^2</f>
        <v>27.331565636480466</v>
      </c>
      <c r="N78" s="26">
        <f aca="true" t="shared" si="32" ref="N78:N97">($D$16/100*$N$22/100*($D$12)^0.5+(1-$D$16/100)*$N$22/100*($D$11)^0.5+(1-$N$22/100)*B78/100*($D$9)^0.5+(1-$N$22/100)*C78/100*($D$10)^0.5)^2</f>
        <v>31.03462282226527</v>
      </c>
    </row>
    <row r="79" spans="2:14" ht="12.75">
      <c r="B79" s="10">
        <v>90</v>
      </c>
      <c r="C79" s="12">
        <v>10</v>
      </c>
      <c r="D79" s="25">
        <f t="shared" si="25"/>
        <v>4.674981366279908</v>
      </c>
      <c r="E79" s="8">
        <f t="shared" si="26"/>
        <v>6.27032647939228</v>
      </c>
      <c r="F79" s="8">
        <f t="shared" si="22"/>
        <v>8.099451152354508</v>
      </c>
      <c r="G79" s="8">
        <f t="shared" si="23"/>
        <v>10.162355385166588</v>
      </c>
      <c r="H79" s="8">
        <f t="shared" si="24"/>
        <v>12.45903917782853</v>
      </c>
      <c r="I79" s="8">
        <f t="shared" si="27"/>
        <v>14.989502530340326</v>
      </c>
      <c r="J79" s="8">
        <f t="shared" si="28"/>
        <v>17.753745442701973</v>
      </c>
      <c r="K79" s="8">
        <f t="shared" si="29"/>
        <v>20.75176791491349</v>
      </c>
      <c r="L79" s="8">
        <f t="shared" si="30"/>
        <v>23.983569946974853</v>
      </c>
      <c r="M79" s="8">
        <f t="shared" si="31"/>
        <v>27.449151538886074</v>
      </c>
      <c r="N79" s="26">
        <f t="shared" si="32"/>
        <v>31.14851269064715</v>
      </c>
    </row>
    <row r="80" spans="2:14" ht="12.75">
      <c r="B80" s="10">
        <v>85</v>
      </c>
      <c r="C80" s="12">
        <v>15</v>
      </c>
      <c r="D80" s="25">
        <f t="shared" si="25"/>
        <v>4.76372360222987</v>
      </c>
      <c r="E80" s="8">
        <f t="shared" si="26"/>
        <v>6.367879798627703</v>
      </c>
      <c r="F80" s="8">
        <f t="shared" si="22"/>
        <v>8.204421008024555</v>
      </c>
      <c r="G80" s="8">
        <f t="shared" si="23"/>
        <v>10.273347230420427</v>
      </c>
      <c r="H80" s="8">
        <f t="shared" si="24"/>
        <v>12.574658465815313</v>
      </c>
      <c r="I80" s="8">
        <f t="shared" si="27"/>
        <v>15.108354714209216</v>
      </c>
      <c r="J80" s="8">
        <f t="shared" si="28"/>
        <v>17.874435975602136</v>
      </c>
      <c r="K80" s="8">
        <f t="shared" si="29"/>
        <v>20.872902249994087</v>
      </c>
      <c r="L80" s="8">
        <f t="shared" si="30"/>
        <v>24.103753537385042</v>
      </c>
      <c r="M80" s="8">
        <f t="shared" si="31"/>
        <v>27.566989837775033</v>
      </c>
      <c r="N80" s="26">
        <f t="shared" si="32"/>
        <v>31.262611151164023</v>
      </c>
    </row>
    <row r="81" spans="2:14" ht="12.75">
      <c r="B81" s="10">
        <v>80</v>
      </c>
      <c r="C81" s="12">
        <v>20</v>
      </c>
      <c r="D81" s="25">
        <f t="shared" si="25"/>
        <v>4.8533002067198385</v>
      </c>
      <c r="E81" s="8">
        <f t="shared" si="26"/>
        <v>6.466186135470484</v>
      </c>
      <c r="F81" s="8">
        <f t="shared" si="22"/>
        <v>8.31006670221201</v>
      </c>
      <c r="G81" s="8">
        <f t="shared" si="23"/>
        <v>10.384941906944412</v>
      </c>
      <c r="H81" s="8">
        <f t="shared" si="24"/>
        <v>12.690811749667702</v>
      </c>
      <c r="I81" s="8">
        <f t="shared" si="27"/>
        <v>15.227676230381869</v>
      </c>
      <c r="J81" s="8">
        <f t="shared" si="28"/>
        <v>17.995535349086914</v>
      </c>
      <c r="K81" s="8">
        <f t="shared" si="29"/>
        <v>20.99438910578284</v>
      </c>
      <c r="L81" s="8">
        <f t="shared" si="30"/>
        <v>24.22423750046966</v>
      </c>
      <c r="M81" s="8">
        <f t="shared" si="31"/>
        <v>27.68508053314733</v>
      </c>
      <c r="N81" s="26">
        <f t="shared" si="32"/>
        <v>31.376918203815904</v>
      </c>
    </row>
    <row r="82" spans="2:14" ht="12.75">
      <c r="B82" s="10">
        <v>75</v>
      </c>
      <c r="C82" s="12">
        <v>25</v>
      </c>
      <c r="D82" s="25">
        <f t="shared" si="25"/>
        <v>4.943711179749811</v>
      </c>
      <c r="E82" s="8">
        <f t="shared" si="26"/>
        <v>6.565245489920617</v>
      </c>
      <c r="F82" s="8">
        <f t="shared" si="22"/>
        <v>8.416388234916868</v>
      </c>
      <c r="G82" s="8">
        <f t="shared" si="23"/>
        <v>10.497139414738555</v>
      </c>
      <c r="H82" s="8">
        <f t="shared" si="24"/>
        <v>12.807499029385694</v>
      </c>
      <c r="I82" s="8">
        <f t="shared" si="27"/>
        <v>15.34746707885827</v>
      </c>
      <c r="J82" s="8">
        <f t="shared" si="28"/>
        <v>18.117043563156283</v>
      </c>
      <c r="K82" s="8">
        <f t="shared" si="29"/>
        <v>21.11622848227975</v>
      </c>
      <c r="L82" s="8">
        <f t="shared" si="30"/>
        <v>24.34502183622865</v>
      </c>
      <c r="M82" s="8">
        <f t="shared" si="31"/>
        <v>27.803423625002996</v>
      </c>
      <c r="N82" s="26">
        <f t="shared" si="32"/>
        <v>31.491433848602792</v>
      </c>
    </row>
    <row r="83" spans="2:14" ht="12.75">
      <c r="B83" s="10">
        <v>70</v>
      </c>
      <c r="C83" s="12">
        <v>30</v>
      </c>
      <c r="D83" s="25">
        <f t="shared" si="25"/>
        <v>5.0349565213197875</v>
      </c>
      <c r="E83" s="8">
        <f t="shared" si="26"/>
        <v>6.665057861978105</v>
      </c>
      <c r="F83" s="8">
        <f t="shared" si="22"/>
        <v>8.523385606139131</v>
      </c>
      <c r="G83" s="8">
        <f t="shared" si="23"/>
        <v>10.609939753802852</v>
      </c>
      <c r="H83" s="8">
        <f t="shared" si="24"/>
        <v>12.924720304969288</v>
      </c>
      <c r="I83" s="8">
        <f t="shared" si="27"/>
        <v>15.467727259638423</v>
      </c>
      <c r="J83" s="8">
        <f t="shared" si="28"/>
        <v>18.23896061781026</v>
      </c>
      <c r="K83" s="8">
        <f t="shared" si="29"/>
        <v>21.238420379484804</v>
      </c>
      <c r="L83" s="8">
        <f t="shared" si="30"/>
        <v>24.466106544662065</v>
      </c>
      <c r="M83" s="8">
        <f t="shared" si="31"/>
        <v>27.92201911334201</v>
      </c>
      <c r="N83" s="26">
        <f t="shared" si="32"/>
        <v>31.606158085524676</v>
      </c>
    </row>
    <row r="84" spans="2:14" ht="12.75">
      <c r="B84" s="10">
        <v>65</v>
      </c>
      <c r="C84" s="12">
        <v>35</v>
      </c>
      <c r="D84" s="25">
        <f t="shared" si="25"/>
        <v>5.12703623142977</v>
      </c>
      <c r="E84" s="8">
        <f t="shared" si="26"/>
        <v>6.765623251642951</v>
      </c>
      <c r="F84" s="8">
        <f t="shared" si="22"/>
        <v>8.631058815878795</v>
      </c>
      <c r="G84" s="8">
        <f t="shared" si="23"/>
        <v>10.723342924137306</v>
      </c>
      <c r="H84" s="8">
        <f t="shared" si="24"/>
        <v>13.042475576418486</v>
      </c>
      <c r="I84" s="8">
        <f t="shared" si="27"/>
        <v>15.588456772722333</v>
      </c>
      <c r="J84" s="8">
        <f t="shared" si="28"/>
        <v>18.36128651304884</v>
      </c>
      <c r="K84" s="8">
        <f t="shared" si="29"/>
        <v>21.360964797398022</v>
      </c>
      <c r="L84" s="8">
        <f t="shared" si="30"/>
        <v>24.587491625769868</v>
      </c>
      <c r="M84" s="8">
        <f t="shared" si="31"/>
        <v>28.040866998164375</v>
      </c>
      <c r="N84" s="26">
        <f t="shared" si="32"/>
        <v>31.721090914581545</v>
      </c>
    </row>
    <row r="85" spans="2:14" ht="12.75">
      <c r="B85" s="10">
        <v>60</v>
      </c>
      <c r="C85" s="12">
        <v>40</v>
      </c>
      <c r="D85" s="25">
        <f t="shared" si="25"/>
        <v>5.219950310079758</v>
      </c>
      <c r="E85" s="8">
        <f t="shared" si="26"/>
        <v>6.866941658915145</v>
      </c>
      <c r="F85" s="8">
        <f t="shared" si="22"/>
        <v>8.739407864135863</v>
      </c>
      <c r="G85" s="8">
        <f t="shared" si="23"/>
        <v>10.83734892574191</v>
      </c>
      <c r="H85" s="8">
        <f t="shared" si="24"/>
        <v>13.160764843733284</v>
      </c>
      <c r="I85" s="8">
        <f t="shared" si="27"/>
        <v>15.70965561810999</v>
      </c>
      <c r="J85" s="8">
        <f t="shared" si="28"/>
        <v>18.484021248872022</v>
      </c>
      <c r="K85" s="45">
        <f t="shared" si="29"/>
        <v>21.48386173601938</v>
      </c>
      <c r="L85" s="8">
        <f t="shared" si="30"/>
        <v>24.709177079552074</v>
      </c>
      <c r="M85" s="8">
        <f t="shared" si="31"/>
        <v>28.15996727947009</v>
      </c>
      <c r="N85" s="26">
        <f t="shared" si="32"/>
        <v>31.836232335773435</v>
      </c>
    </row>
    <row r="86" spans="2:14" ht="12.75">
      <c r="B86" s="10">
        <v>55</v>
      </c>
      <c r="C86" s="12">
        <v>45</v>
      </c>
      <c r="D86" s="25">
        <f t="shared" si="25"/>
        <v>5.313698757269751</v>
      </c>
      <c r="E86" s="8">
        <f t="shared" si="26"/>
        <v>6.969013083794697</v>
      </c>
      <c r="F86" s="8">
        <f t="shared" si="22"/>
        <v>8.848432750910337</v>
      </c>
      <c r="G86" s="8">
        <f t="shared" si="23"/>
        <v>10.95195775861667</v>
      </c>
      <c r="H86" s="8">
        <f t="shared" si="24"/>
        <v>13.279588106913687</v>
      </c>
      <c r="I86" s="8">
        <f t="shared" si="27"/>
        <v>15.831323795801397</v>
      </c>
      <c r="J86" s="8">
        <f t="shared" si="28"/>
        <v>18.6071648252798</v>
      </c>
      <c r="K86" s="8">
        <f t="shared" si="29"/>
        <v>21.6071111953489</v>
      </c>
      <c r="L86" s="8">
        <f t="shared" si="30"/>
        <v>24.831162906008682</v>
      </c>
      <c r="M86" s="8">
        <f t="shared" si="31"/>
        <v>28.27931995725916</v>
      </c>
      <c r="N86" s="26">
        <f t="shared" si="32"/>
        <v>31.951582349100324</v>
      </c>
    </row>
    <row r="87" spans="2:14" ht="12.75">
      <c r="B87" s="10">
        <v>50</v>
      </c>
      <c r="C87" s="12">
        <v>50</v>
      </c>
      <c r="D87" s="25">
        <f t="shared" si="25"/>
        <v>5.408281572999748</v>
      </c>
      <c r="E87" s="8">
        <f t="shared" si="26"/>
        <v>7.071837526281605</v>
      </c>
      <c r="F87" s="8">
        <f t="shared" si="22"/>
        <v>8.958133476202217</v>
      </c>
      <c r="G87" s="8">
        <f t="shared" si="23"/>
        <v>11.067169422761575</v>
      </c>
      <c r="H87" s="8">
        <f t="shared" si="24"/>
        <v>13.3989453659597</v>
      </c>
      <c r="I87" s="8">
        <f t="shared" si="27"/>
        <v>15.95346130579657</v>
      </c>
      <c r="J87" s="8">
        <f t="shared" si="28"/>
        <v>18.73071724227219</v>
      </c>
      <c r="K87" s="8">
        <f t="shared" si="29"/>
        <v>21.730713175386565</v>
      </c>
      <c r="L87" s="8">
        <f t="shared" si="30"/>
        <v>24.953449105139693</v>
      </c>
      <c r="M87" s="8">
        <f t="shared" si="31"/>
        <v>28.39892503153158</v>
      </c>
      <c r="N87" s="26">
        <f t="shared" si="32"/>
        <v>32.06714095456221</v>
      </c>
    </row>
    <row r="88" spans="2:14" ht="12.75">
      <c r="B88" s="10">
        <v>45</v>
      </c>
      <c r="C88" s="12">
        <v>55</v>
      </c>
      <c r="D88" s="25">
        <f t="shared" si="25"/>
        <v>5.503698757269751</v>
      </c>
      <c r="E88" s="8">
        <f t="shared" si="26"/>
        <v>7.175414986375866</v>
      </c>
      <c r="F88" s="8">
        <f t="shared" si="22"/>
        <v>9.0685100400115</v>
      </c>
      <c r="G88" s="8">
        <f t="shared" si="23"/>
        <v>11.182983918176642</v>
      </c>
      <c r="H88" s="8">
        <f t="shared" si="24"/>
        <v>13.518836620871308</v>
      </c>
      <c r="I88" s="8">
        <f t="shared" si="27"/>
        <v>16.07606814809548</v>
      </c>
      <c r="J88" s="8">
        <f t="shared" si="28"/>
        <v>18.854678499849168</v>
      </c>
      <c r="K88" s="8">
        <f t="shared" si="29"/>
        <v>21.854667676132387</v>
      </c>
      <c r="L88" s="8">
        <f t="shared" si="30"/>
        <v>25.076035676945114</v>
      </c>
      <c r="M88" s="8">
        <f t="shared" si="31"/>
        <v>28.518782502287348</v>
      </c>
      <c r="N88" s="26">
        <f t="shared" si="32"/>
        <v>32.18290815215911</v>
      </c>
    </row>
    <row r="89" spans="2:14" ht="12.75">
      <c r="B89" s="10">
        <v>40</v>
      </c>
      <c r="C89" s="12">
        <v>60</v>
      </c>
      <c r="D89" s="25">
        <f t="shared" si="25"/>
        <v>5.599950310079756</v>
      </c>
      <c r="E89" s="8">
        <f t="shared" si="26"/>
        <v>7.2797454640774815</v>
      </c>
      <c r="F89" s="8">
        <f t="shared" si="22"/>
        <v>9.179562442338186</v>
      </c>
      <c r="G89" s="8">
        <f t="shared" si="23"/>
        <v>11.299401244861862</v>
      </c>
      <c r="H89" s="8">
        <f t="shared" si="24"/>
        <v>13.63926187164852</v>
      </c>
      <c r="I89" s="8">
        <f t="shared" si="27"/>
        <v>16.19914432269816</v>
      </c>
      <c r="J89" s="8">
        <f t="shared" si="28"/>
        <v>18.97904859801076</v>
      </c>
      <c r="K89" s="8">
        <f t="shared" si="29"/>
        <v>21.978974697586356</v>
      </c>
      <c r="L89" s="8">
        <f t="shared" si="30"/>
        <v>25.19892262142493</v>
      </c>
      <c r="M89" s="8">
        <f t="shared" si="31"/>
        <v>28.638892369526474</v>
      </c>
      <c r="N89" s="26">
        <f t="shared" si="32"/>
        <v>32.29888394189099</v>
      </c>
    </row>
    <row r="90" spans="2:14" ht="12.75">
      <c r="B90" s="10">
        <v>35</v>
      </c>
      <c r="C90" s="12">
        <v>65</v>
      </c>
      <c r="D90" s="25">
        <f t="shared" si="25"/>
        <v>5.69703623142977</v>
      </c>
      <c r="E90" s="8">
        <f t="shared" si="26"/>
        <v>7.384828959386452</v>
      </c>
      <c r="F90" s="8">
        <f t="shared" si="22"/>
        <v>9.291290683182273</v>
      </c>
      <c r="G90" s="8">
        <f t="shared" si="23"/>
        <v>11.416421402817233</v>
      </c>
      <c r="H90" s="8">
        <f t="shared" si="24"/>
        <v>13.76022111829134</v>
      </c>
      <c r="I90" s="8">
        <f t="shared" si="27"/>
        <v>16.32268982960458</v>
      </c>
      <c r="J90" s="8">
        <f t="shared" si="28"/>
        <v>19.103827536756956</v>
      </c>
      <c r="K90" s="8">
        <f t="shared" si="29"/>
        <v>22.103634239748484</v>
      </c>
      <c r="L90" s="8">
        <f t="shared" si="30"/>
        <v>25.322109938579146</v>
      </c>
      <c r="M90" s="8">
        <f t="shared" si="31"/>
        <v>28.759254633248936</v>
      </c>
      <c r="N90" s="26">
        <f t="shared" si="32"/>
        <v>32.415068323757886</v>
      </c>
    </row>
    <row r="91" spans="2:14" ht="12.75">
      <c r="B91" s="10">
        <v>30</v>
      </c>
      <c r="C91" s="12">
        <v>70</v>
      </c>
      <c r="D91" s="25">
        <f t="shared" si="25"/>
        <v>5.794956521319788</v>
      </c>
      <c r="E91" s="8">
        <f t="shared" si="26"/>
        <v>7.490665472302778</v>
      </c>
      <c r="F91" s="8">
        <f t="shared" si="22"/>
        <v>9.403694762543768</v>
      </c>
      <c r="G91" s="8">
        <f t="shared" si="23"/>
        <v>11.534044392042762</v>
      </c>
      <c r="H91" s="8">
        <f t="shared" si="24"/>
        <v>13.881714360799759</v>
      </c>
      <c r="I91" s="8">
        <f t="shared" si="27"/>
        <v>16.44670466881476</v>
      </c>
      <c r="J91" s="8">
        <f t="shared" si="28"/>
        <v>19.229015316087754</v>
      </c>
      <c r="K91" s="8">
        <f t="shared" si="29"/>
        <v>22.228646302618756</v>
      </c>
      <c r="L91" s="8">
        <f t="shared" si="30"/>
        <v>25.445597628407764</v>
      </c>
      <c r="M91" s="8">
        <f t="shared" si="31"/>
        <v>28.879869293454764</v>
      </c>
      <c r="N91" s="26">
        <f t="shared" si="32"/>
        <v>32.53146129775978</v>
      </c>
    </row>
    <row r="92" spans="2:14" ht="12.75">
      <c r="B92" s="10">
        <v>25</v>
      </c>
      <c r="C92" s="12">
        <v>75</v>
      </c>
      <c r="D92" s="25">
        <f t="shared" si="25"/>
        <v>5.893711179749809</v>
      </c>
      <c r="E92" s="8">
        <f t="shared" si="26"/>
        <v>7.597255002826455</v>
      </c>
      <c r="F92" s="8">
        <f t="shared" si="22"/>
        <v>9.516774680422667</v>
      </c>
      <c r="G92" s="8">
        <f t="shared" si="23"/>
        <v>11.652270212538438</v>
      </c>
      <c r="H92" s="8">
        <f t="shared" si="24"/>
        <v>14.00374159917378</v>
      </c>
      <c r="I92" s="8">
        <f t="shared" si="27"/>
        <v>16.571188840328688</v>
      </c>
      <c r="J92" s="8">
        <f t="shared" si="28"/>
        <v>19.354611936003153</v>
      </c>
      <c r="K92" s="8">
        <f t="shared" si="29"/>
        <v>22.35401088619719</v>
      </c>
      <c r="L92" s="8">
        <f t="shared" si="30"/>
        <v>25.56938569091078</v>
      </c>
      <c r="M92" s="8">
        <f t="shared" si="31"/>
        <v>29.00073635014394</v>
      </c>
      <c r="N92" s="26">
        <f t="shared" si="32"/>
        <v>32.64806286389668</v>
      </c>
    </row>
    <row r="93" spans="2:14" ht="12.75">
      <c r="B93" s="10">
        <v>20</v>
      </c>
      <c r="C93" s="12">
        <v>80</v>
      </c>
      <c r="D93" s="25">
        <f t="shared" si="25"/>
        <v>5.99330020671984</v>
      </c>
      <c r="E93" s="8">
        <f t="shared" si="26"/>
        <v>7.704597550957488</v>
      </c>
      <c r="F93" s="8">
        <f t="shared" si="22"/>
        <v>9.63053043681897</v>
      </c>
      <c r="G93" s="8">
        <f t="shared" si="23"/>
        <v>11.771098864304275</v>
      </c>
      <c r="H93" s="8">
        <f t="shared" si="24"/>
        <v>14.126302833413405</v>
      </c>
      <c r="I93" s="8">
        <f t="shared" si="27"/>
        <v>16.696142344146363</v>
      </c>
      <c r="J93" s="8">
        <f t="shared" si="28"/>
        <v>19.480617396503156</v>
      </c>
      <c r="K93" s="8">
        <f t="shared" si="29"/>
        <v>22.479727990483767</v>
      </c>
      <c r="L93" s="8">
        <f t="shared" si="30"/>
        <v>25.693474126088205</v>
      </c>
      <c r="M93" s="8">
        <f t="shared" si="31"/>
        <v>29.121855803316468</v>
      </c>
      <c r="N93" s="26">
        <f t="shared" si="32"/>
        <v>32.76487302216857</v>
      </c>
    </row>
    <row r="94" spans="2:14" ht="12.75">
      <c r="B94" s="10">
        <v>15</v>
      </c>
      <c r="C94" s="12">
        <v>85</v>
      </c>
      <c r="D94" s="25">
        <f t="shared" si="25"/>
        <v>6.093723602229869</v>
      </c>
      <c r="E94" s="8">
        <f t="shared" si="26"/>
        <v>7.812693116695876</v>
      </c>
      <c r="F94" s="8">
        <f t="shared" si="22"/>
        <v>9.744962031732678</v>
      </c>
      <c r="G94" s="8">
        <f t="shared" si="23"/>
        <v>11.890530347340261</v>
      </c>
      <c r="H94" s="8">
        <f t="shared" si="24"/>
        <v>14.24939806351864</v>
      </c>
      <c r="I94" s="8">
        <f t="shared" si="27"/>
        <v>16.821565180267797</v>
      </c>
      <c r="J94" s="8">
        <f t="shared" si="28"/>
        <v>19.60703169758776</v>
      </c>
      <c r="K94" s="8">
        <f t="shared" si="29"/>
        <v>22.605797615478494</v>
      </c>
      <c r="L94" s="8">
        <f t="shared" si="30"/>
        <v>25.817862933940038</v>
      </c>
      <c r="M94" s="8">
        <f t="shared" si="31"/>
        <v>29.243227652972358</v>
      </c>
      <c r="N94" s="26">
        <f t="shared" si="32"/>
        <v>32.88189177257546</v>
      </c>
    </row>
    <row r="95" spans="2:14" ht="12.75">
      <c r="B95" s="10">
        <v>10</v>
      </c>
      <c r="C95" s="12">
        <v>90</v>
      </c>
      <c r="D95" s="25">
        <f t="shared" si="25"/>
        <v>6.19498136627991</v>
      </c>
      <c r="E95" s="8">
        <f t="shared" si="26"/>
        <v>7.9215417000416215</v>
      </c>
      <c r="F95" s="8">
        <f t="shared" si="22"/>
        <v>9.860069465163788</v>
      </c>
      <c r="G95" s="8">
        <f t="shared" si="23"/>
        <v>12.010564661646402</v>
      </c>
      <c r="H95" s="8">
        <f t="shared" si="24"/>
        <v>14.373027289489471</v>
      </c>
      <c r="I95" s="8">
        <f t="shared" si="27"/>
        <v>16.947457348692993</v>
      </c>
      <c r="J95" s="8">
        <f t="shared" si="28"/>
        <v>19.73385483925696</v>
      </c>
      <c r="K95" s="8">
        <f t="shared" si="29"/>
        <v>22.732219761181383</v>
      </c>
      <c r="L95" s="8">
        <f t="shared" si="30"/>
        <v>25.94255211446626</v>
      </c>
      <c r="M95" s="8">
        <f t="shared" si="31"/>
        <v>29.36485189911158</v>
      </c>
      <c r="N95" s="26">
        <f t="shared" si="32"/>
        <v>32.99911911511736</v>
      </c>
    </row>
    <row r="96" spans="2:14" ht="12.75">
      <c r="B96" s="10">
        <v>5</v>
      </c>
      <c r="C96" s="12">
        <v>95</v>
      </c>
      <c r="D96" s="25">
        <f t="shared" si="25"/>
        <v>6.297073498869952</v>
      </c>
      <c r="E96" s="8">
        <f t="shared" si="26"/>
        <v>8.031143300994719</v>
      </c>
      <c r="F96" s="8">
        <f t="shared" si="22"/>
        <v>9.9758527371123</v>
      </c>
      <c r="G96" s="8">
        <f t="shared" si="23"/>
        <v>12.131201807222693</v>
      </c>
      <c r="H96" s="8">
        <f t="shared" si="24"/>
        <v>14.497190511325906</v>
      </c>
      <c r="I96" s="8">
        <f t="shared" si="27"/>
        <v>17.073818849421926</v>
      </c>
      <c r="J96" s="8">
        <f t="shared" si="28"/>
        <v>19.861086821510767</v>
      </c>
      <c r="K96" s="8">
        <f t="shared" si="29"/>
        <v>22.858994427592425</v>
      </c>
      <c r="L96" s="8">
        <f t="shared" si="30"/>
        <v>26.067541667666887</v>
      </c>
      <c r="M96" s="8">
        <f t="shared" si="31"/>
        <v>29.486728541734163</v>
      </c>
      <c r="N96" s="26">
        <f t="shared" si="32"/>
        <v>33.116555049794265</v>
      </c>
    </row>
    <row r="97" spans="2:14" ht="13.5" thickBot="1">
      <c r="B97" s="13">
        <v>0</v>
      </c>
      <c r="C97" s="14">
        <v>100</v>
      </c>
      <c r="D97" s="27">
        <f t="shared" si="25"/>
        <v>6.4</v>
      </c>
      <c r="E97" s="28">
        <f t="shared" si="26"/>
        <v>8.141497919555173</v>
      </c>
      <c r="F97" s="28">
        <f t="shared" si="22"/>
        <v>10.09231184757822</v>
      </c>
      <c r="G97" s="28">
        <f t="shared" si="23"/>
        <v>12.252441784069143</v>
      </c>
      <c r="H97" s="28">
        <f t="shared" si="24"/>
        <v>14.62188772902795</v>
      </c>
      <c r="I97" s="28">
        <f t="shared" si="27"/>
        <v>17.200649682454628</v>
      </c>
      <c r="J97" s="28">
        <f t="shared" si="28"/>
        <v>19.988727644349172</v>
      </c>
      <c r="K97" s="28">
        <f t="shared" si="29"/>
        <v>22.98612161471161</v>
      </c>
      <c r="L97" s="28">
        <f t="shared" si="30"/>
        <v>26.192831593541918</v>
      </c>
      <c r="M97" s="28">
        <f t="shared" si="31"/>
        <v>29.608857580840098</v>
      </c>
      <c r="N97" s="29">
        <f t="shared" si="32"/>
        <v>33.234199576606166</v>
      </c>
    </row>
    <row r="98" ht="13.5" thickTop="1"/>
  </sheetData>
  <printOptions/>
  <pageMargins left="1.5" right="1.25" top="1.25" bottom="1.25" header="0" footer="0"/>
  <pageSetup fitToHeight="1" fitToWidth="1" horizontalDpi="300" verticalDpi="3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18.140625" style="0" customWidth="1"/>
    <col min="3" max="3" width="17.00390625" style="0" customWidth="1"/>
    <col min="4" max="4" width="10.00390625" style="0" customWidth="1"/>
    <col min="5" max="5" width="9.7109375" style="0" customWidth="1"/>
    <col min="11" max="11" width="8.421875" style="0" customWidth="1"/>
  </cols>
  <sheetData>
    <row r="2" ht="18">
      <c r="B2" s="158" t="s">
        <v>110</v>
      </c>
    </row>
    <row r="3" spans="1:2" ht="15.75">
      <c r="A3" s="2"/>
      <c r="B3" s="77" t="s">
        <v>104</v>
      </c>
    </row>
    <row r="4" spans="1:2" ht="15.75">
      <c r="A4" s="2"/>
      <c r="B4" s="185" t="s">
        <v>111</v>
      </c>
    </row>
    <row r="5" spans="1:2" ht="15.75">
      <c r="A5" s="1"/>
      <c r="B5" s="185" t="s">
        <v>105</v>
      </c>
    </row>
    <row r="6" spans="1:2" ht="15.75">
      <c r="A6" s="2"/>
      <c r="B6" s="185" t="s">
        <v>106</v>
      </c>
    </row>
    <row r="7" ht="13.5" thickBot="1">
      <c r="A7" s="2"/>
    </row>
    <row r="8" spans="2:6" ht="14.25" thickBot="1" thickTop="1">
      <c r="B8" s="31" t="s">
        <v>1</v>
      </c>
      <c r="C8" s="32"/>
      <c r="D8" s="33"/>
      <c r="F8" s="2"/>
    </row>
    <row r="9" spans="2:6" ht="12.75">
      <c r="B9" s="34" t="s">
        <v>90</v>
      </c>
      <c r="C9" s="84" t="s">
        <v>9</v>
      </c>
      <c r="D9" s="85">
        <v>8.5</v>
      </c>
      <c r="E9" s="184" t="s">
        <v>75</v>
      </c>
      <c r="F9" s="5"/>
    </row>
    <row r="10" spans="2:6" ht="12.75">
      <c r="B10" s="20" t="s">
        <v>91</v>
      </c>
      <c r="C10" s="86" t="s">
        <v>3</v>
      </c>
      <c r="D10" s="87">
        <v>4.4</v>
      </c>
      <c r="E10" s="184" t="s">
        <v>76</v>
      </c>
      <c r="F10" s="5"/>
    </row>
    <row r="11" spans="2:7" ht="12.75">
      <c r="B11" s="21" t="s">
        <v>95</v>
      </c>
      <c r="C11" s="86" t="s">
        <v>6</v>
      </c>
      <c r="D11" s="87">
        <v>81</v>
      </c>
      <c r="E11" s="184" t="s">
        <v>77</v>
      </c>
      <c r="F11" s="5"/>
      <c r="G11" s="4"/>
    </row>
    <row r="12" spans="2:7" ht="13.5" thickBot="1">
      <c r="B12" s="34" t="s">
        <v>96</v>
      </c>
      <c r="C12" s="88" t="s">
        <v>5</v>
      </c>
      <c r="D12" s="89">
        <v>1</v>
      </c>
      <c r="E12" s="184" t="s">
        <v>78</v>
      </c>
      <c r="F12" s="5"/>
      <c r="G12" s="4"/>
    </row>
    <row r="13" spans="2:7" ht="14.25" thickBot="1" thickTop="1">
      <c r="B13" s="17" t="s">
        <v>71</v>
      </c>
      <c r="C13" s="35"/>
      <c r="D13" s="36"/>
      <c r="E13" s="184"/>
      <c r="F13" s="2"/>
      <c r="G13" s="4"/>
    </row>
    <row r="14" spans="2:6" ht="12.75">
      <c r="B14" s="93" t="s">
        <v>92</v>
      </c>
      <c r="C14" s="30"/>
      <c r="D14" s="94">
        <v>100</v>
      </c>
      <c r="E14" s="184" t="s">
        <v>97</v>
      </c>
      <c r="F14" s="90"/>
    </row>
    <row r="15" spans="2:6" ht="12.75">
      <c r="B15" s="91" t="s">
        <v>93</v>
      </c>
      <c r="C15" s="129"/>
      <c r="D15" s="95">
        <v>100</v>
      </c>
      <c r="E15" s="184" t="s">
        <v>97</v>
      </c>
      <c r="F15" s="90"/>
    </row>
    <row r="16" spans="2:5" ht="13.5" thickBot="1">
      <c r="B16" s="92" t="s">
        <v>94</v>
      </c>
      <c r="C16" s="37"/>
      <c r="D16" s="74">
        <v>0</v>
      </c>
      <c r="E16" s="184" t="s">
        <v>97</v>
      </c>
    </row>
    <row r="17" ht="13.5" thickTop="1">
      <c r="D17" s="16"/>
    </row>
    <row r="18" ht="12.75">
      <c r="D18" s="16"/>
    </row>
    <row r="19" spans="1:2" ht="12.75">
      <c r="A19" s="3"/>
      <c r="B19" s="2" t="s">
        <v>60</v>
      </c>
    </row>
    <row r="20" spans="1:4" ht="13.5" thickBot="1">
      <c r="A20" s="3"/>
      <c r="B20" s="96"/>
      <c r="C20" s="4"/>
      <c r="D20" s="2" t="s">
        <v>63</v>
      </c>
    </row>
    <row r="21" spans="2:14" ht="13.5" thickTop="1">
      <c r="B21" s="108" t="s">
        <v>72</v>
      </c>
      <c r="C21" s="112"/>
      <c r="D21" s="97" t="s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2:16" ht="13.5" thickBot="1">
      <c r="B22" s="105" t="str">
        <f>C12</f>
        <v>Air</v>
      </c>
      <c r="C22" s="113" t="str">
        <f>C11</f>
        <v>Water</v>
      </c>
      <c r="D22" s="109">
        <v>0</v>
      </c>
      <c r="E22" s="106">
        <v>5</v>
      </c>
      <c r="F22" s="106">
        <v>10</v>
      </c>
      <c r="G22" s="106">
        <v>15</v>
      </c>
      <c r="H22" s="106">
        <v>20</v>
      </c>
      <c r="I22" s="106">
        <v>25</v>
      </c>
      <c r="J22" s="106">
        <v>30</v>
      </c>
      <c r="K22" s="106">
        <v>35</v>
      </c>
      <c r="L22" s="106">
        <v>40</v>
      </c>
      <c r="M22" s="106">
        <v>45</v>
      </c>
      <c r="N22" s="107">
        <v>50</v>
      </c>
      <c r="P22" s="18"/>
    </row>
    <row r="23" spans="2:16" ht="12.75">
      <c r="B23" s="20">
        <v>0</v>
      </c>
      <c r="C23" s="114">
        <v>100</v>
      </c>
      <c r="D23" s="8">
        <f aca="true" t="shared" si="0" ref="D23:D39">((1-$D$14/100)*(1-D$22/100)*($D$9)^0.5+($D$14/100)*(1-D$22/100)*($D$10)^0.5+(D$22/100)*$C23/100*($D$11)^0.5+(D$22/100)*$B23/100*($D$12)^0.5)^2</f>
        <v>4.4</v>
      </c>
      <c r="E23" s="103">
        <f aca="true" t="shared" si="1" ref="E23:N38">((1-$D$14/100)*(1-E$22/100)*($D$9)^0.5+($D$14/100)*(1-E$22/100)*($D$10)^0.5+(E$22/100)*$C23/100*($D$11)^0.5+(E$22/100)*$B23/100*($D$12)^0.5)^2</f>
        <v>5.96696313037096</v>
      </c>
      <c r="F23" s="103">
        <f t="shared" si="1"/>
        <v>7.772140668071293</v>
      </c>
      <c r="G23" s="103">
        <f t="shared" si="1"/>
        <v>9.815532613100995</v>
      </c>
      <c r="H23" s="103">
        <f t="shared" si="1"/>
        <v>12.097138965460076</v>
      </c>
      <c r="I23" s="103">
        <f t="shared" si="1"/>
        <v>14.616959725148522</v>
      </c>
      <c r="J23" s="103">
        <f t="shared" si="1"/>
        <v>17.37499489216634</v>
      </c>
      <c r="K23" s="103">
        <f t="shared" si="1"/>
        <v>20.37124446651354</v>
      </c>
      <c r="L23" s="103">
        <f t="shared" si="1"/>
        <v>23.605708448190114</v>
      </c>
      <c r="M23" s="103">
        <f t="shared" si="1"/>
        <v>27.07838683719605</v>
      </c>
      <c r="N23" s="104">
        <f t="shared" si="1"/>
        <v>30.78927963353137</v>
      </c>
      <c r="P23" s="18"/>
    </row>
    <row r="24" spans="2:16" ht="12.75">
      <c r="B24" s="10">
        <v>5</v>
      </c>
      <c r="C24" s="115">
        <v>95</v>
      </c>
      <c r="D24" s="110">
        <f t="shared" si="0"/>
        <v>4.4</v>
      </c>
      <c r="E24" s="99">
        <f t="shared" si="1"/>
        <v>5.8696536579100265</v>
      </c>
      <c r="F24" s="99">
        <f t="shared" si="1"/>
        <v>7.55071219393479</v>
      </c>
      <c r="G24" s="99">
        <f t="shared" si="1"/>
        <v>9.443175608074283</v>
      </c>
      <c r="H24" s="99">
        <f t="shared" si="1"/>
        <v>11.547043900328516</v>
      </c>
      <c r="I24" s="99">
        <f t="shared" si="1"/>
        <v>13.862317070697479</v>
      </c>
      <c r="J24" s="99">
        <f t="shared" si="1"/>
        <v>16.38899511918117</v>
      </c>
      <c r="K24" s="99">
        <f t="shared" si="1"/>
        <v>19.12707804577961</v>
      </c>
      <c r="L24" s="99">
        <f t="shared" si="1"/>
        <v>22.076565850492766</v>
      </c>
      <c r="M24" s="99">
        <f t="shared" si="1"/>
        <v>25.237458533320673</v>
      </c>
      <c r="N24" s="100">
        <f t="shared" si="1"/>
        <v>28.609756094263297</v>
      </c>
      <c r="P24" s="18"/>
    </row>
    <row r="25" spans="2:16" ht="12.75">
      <c r="B25" s="10">
        <v>10</v>
      </c>
      <c r="C25" s="115">
        <v>90</v>
      </c>
      <c r="D25" s="110">
        <f t="shared" si="0"/>
        <v>4.4</v>
      </c>
      <c r="E25" s="99">
        <f t="shared" si="1"/>
        <v>5.773144185449095</v>
      </c>
      <c r="F25" s="99">
        <f t="shared" si="1"/>
        <v>7.332483719798286</v>
      </c>
      <c r="G25" s="99">
        <f t="shared" si="1"/>
        <v>9.078018603047575</v>
      </c>
      <c r="H25" s="99">
        <f t="shared" si="1"/>
        <v>11.009748835196957</v>
      </c>
      <c r="I25" s="99">
        <f t="shared" si="1"/>
        <v>13.127674416246434</v>
      </c>
      <c r="J25" s="99">
        <f t="shared" si="1"/>
        <v>15.431795346196001</v>
      </c>
      <c r="K25" s="99">
        <f t="shared" si="1"/>
        <v>17.92211162504567</v>
      </c>
      <c r="L25" s="99">
        <f t="shared" si="1"/>
        <v>20.598623252795434</v>
      </c>
      <c r="M25" s="99">
        <f t="shared" si="1"/>
        <v>23.461330229445295</v>
      </c>
      <c r="N25" s="100">
        <f t="shared" si="1"/>
        <v>26.510232554995234</v>
      </c>
      <c r="P25" s="18"/>
    </row>
    <row r="26" spans="2:16" ht="12.75">
      <c r="B26" s="10">
        <v>15</v>
      </c>
      <c r="C26" s="115">
        <v>85</v>
      </c>
      <c r="D26" s="110">
        <f t="shared" si="0"/>
        <v>4.4</v>
      </c>
      <c r="E26" s="99">
        <f t="shared" si="1"/>
        <v>5.6774347129881635</v>
      </c>
      <c r="F26" s="99">
        <f t="shared" si="1"/>
        <v>7.1174552456617866</v>
      </c>
      <c r="G26" s="99">
        <f t="shared" si="1"/>
        <v>8.720061598020864</v>
      </c>
      <c r="H26" s="99">
        <f t="shared" si="1"/>
        <v>10.485253770065396</v>
      </c>
      <c r="I26" s="99">
        <f t="shared" si="1"/>
        <v>12.413031761795388</v>
      </c>
      <c r="J26" s="99">
        <f t="shared" si="1"/>
        <v>14.503395573210833</v>
      </c>
      <c r="K26" s="99">
        <f t="shared" si="1"/>
        <v>16.756345204311735</v>
      </c>
      <c r="L26" s="99">
        <f t="shared" si="1"/>
        <v>19.171880655098096</v>
      </c>
      <c r="M26" s="99">
        <f t="shared" si="1"/>
        <v>21.75000192556991</v>
      </c>
      <c r="N26" s="100">
        <f t="shared" si="1"/>
        <v>24.49070901572718</v>
      </c>
      <c r="P26" s="18"/>
    </row>
    <row r="27" spans="2:16" ht="12.75">
      <c r="B27" s="10">
        <v>20</v>
      </c>
      <c r="C27" s="115">
        <v>80</v>
      </c>
      <c r="D27" s="110">
        <f t="shared" si="0"/>
        <v>4.4</v>
      </c>
      <c r="E27" s="99">
        <f t="shared" si="1"/>
        <v>5.582525240527231</v>
      </c>
      <c r="F27" s="99">
        <f t="shared" si="1"/>
        <v>6.905626771525284</v>
      </c>
      <c r="G27" s="99">
        <f t="shared" si="1"/>
        <v>8.369304592994153</v>
      </c>
      <c r="H27" s="99">
        <f t="shared" si="1"/>
        <v>9.973558704933838</v>
      </c>
      <c r="I27" s="99">
        <f t="shared" si="1"/>
        <v>11.718389107344342</v>
      </c>
      <c r="J27" s="99">
        <f t="shared" si="1"/>
        <v>13.603795800225665</v>
      </c>
      <c r="K27" s="99">
        <f t="shared" si="1"/>
        <v>15.629778783577803</v>
      </c>
      <c r="L27" s="99">
        <f t="shared" si="1"/>
        <v>17.796338057400757</v>
      </c>
      <c r="M27" s="99">
        <f t="shared" si="1"/>
        <v>20.103473621694526</v>
      </c>
      <c r="N27" s="100">
        <f t="shared" si="1"/>
        <v>22.55118547645912</v>
      </c>
      <c r="P27" s="18"/>
    </row>
    <row r="28" spans="2:16" ht="12.75">
      <c r="B28" s="10">
        <v>25</v>
      </c>
      <c r="C28" s="115">
        <v>75</v>
      </c>
      <c r="D28" s="110">
        <f t="shared" si="0"/>
        <v>4.4</v>
      </c>
      <c r="E28" s="99">
        <f>((1-$D$14/100)*(1-E$22/100)*($D$9)^0.5+($D$14/100)*(1-E$22/100)*($D$10)^0.5+(E$22/100)*$C28/100*($D$11)^0.5+(E$22/100)*$B28/100*($D$12)^0.5)^2</f>
        <v>5.488415768066302</v>
      </c>
      <c r="F28" s="99">
        <f t="shared" si="1"/>
        <v>6.696998297388782</v>
      </c>
      <c r="G28" s="99">
        <f t="shared" si="1"/>
        <v>8.025747587967444</v>
      </c>
      <c r="H28" s="99">
        <f t="shared" si="1"/>
        <v>9.474663639802278</v>
      </c>
      <c r="I28" s="99">
        <f t="shared" si="1"/>
        <v>11.043746452893295</v>
      </c>
      <c r="J28" s="99">
        <f t="shared" si="1"/>
        <v>12.73299602724049</v>
      </c>
      <c r="K28" s="99">
        <f t="shared" si="1"/>
        <v>14.542412362843868</v>
      </c>
      <c r="L28" s="99">
        <f t="shared" si="1"/>
        <v>16.471995459703415</v>
      </c>
      <c r="M28" s="99">
        <f t="shared" si="1"/>
        <v>18.521745317819157</v>
      </c>
      <c r="N28" s="100">
        <f t="shared" si="1"/>
        <v>20.691661937191064</v>
      </c>
      <c r="P28" s="18"/>
    </row>
    <row r="29" spans="2:16" ht="12.75">
      <c r="B29" s="10">
        <v>30</v>
      </c>
      <c r="C29" s="115">
        <v>70</v>
      </c>
      <c r="D29" s="110">
        <f t="shared" si="0"/>
        <v>4.4</v>
      </c>
      <c r="E29" s="99">
        <f t="shared" si="1"/>
        <v>5.395106295605371</v>
      </c>
      <c r="F29" s="99">
        <f t="shared" si="1"/>
        <v>6.49156982325228</v>
      </c>
      <c r="G29" s="99">
        <f t="shared" si="1"/>
        <v>7.68939058294073</v>
      </c>
      <c r="H29" s="99">
        <f t="shared" si="1"/>
        <v>8.988568574670722</v>
      </c>
      <c r="I29" s="99">
        <f t="shared" si="1"/>
        <v>10.389103798442251</v>
      </c>
      <c r="J29" s="99">
        <f t="shared" si="1"/>
        <v>11.890996254255318</v>
      </c>
      <c r="K29" s="99">
        <f t="shared" si="1"/>
        <v>13.49424594210993</v>
      </c>
      <c r="L29" s="99">
        <f t="shared" si="1"/>
        <v>15.198852862006085</v>
      </c>
      <c r="M29" s="99">
        <f t="shared" si="1"/>
        <v>17.00481701394377</v>
      </c>
      <c r="N29" s="100">
        <f t="shared" si="1"/>
        <v>18.912138397923</v>
      </c>
      <c r="P29" s="18"/>
    </row>
    <row r="30" spans="2:16" ht="12.75">
      <c r="B30" s="10">
        <v>35</v>
      </c>
      <c r="C30" s="115">
        <v>65</v>
      </c>
      <c r="D30" s="110">
        <f t="shared" si="0"/>
        <v>4.4</v>
      </c>
      <c r="E30" s="99">
        <f t="shared" si="1"/>
        <v>5.302596823144439</v>
      </c>
      <c r="F30" s="99">
        <f t="shared" si="1"/>
        <v>6.289341349115778</v>
      </c>
      <c r="G30" s="99">
        <f t="shared" si="1"/>
        <v>7.360233577914021</v>
      </c>
      <c r="H30" s="99">
        <f t="shared" si="1"/>
        <v>8.515273509539163</v>
      </c>
      <c r="I30" s="99">
        <f t="shared" si="1"/>
        <v>9.754461143991206</v>
      </c>
      <c r="J30" s="99">
        <f t="shared" si="1"/>
        <v>11.07779648127015</v>
      </c>
      <c r="K30" s="99">
        <f t="shared" si="1"/>
        <v>12.485279521375995</v>
      </c>
      <c r="L30" s="99">
        <f t="shared" si="1"/>
        <v>13.976910264308742</v>
      </c>
      <c r="M30" s="99">
        <f t="shared" si="1"/>
        <v>15.552688710068391</v>
      </c>
      <c r="N30" s="100">
        <f t="shared" si="1"/>
        <v>17.21261485865494</v>
      </c>
      <c r="P30" s="18"/>
    </row>
    <row r="31" spans="2:16" ht="12.75">
      <c r="B31" s="10">
        <v>40</v>
      </c>
      <c r="C31" s="115">
        <v>60</v>
      </c>
      <c r="D31" s="110">
        <f t="shared" si="0"/>
        <v>4.4</v>
      </c>
      <c r="E31" s="99">
        <f t="shared" si="1"/>
        <v>5.210887350683508</v>
      </c>
      <c r="F31" s="99">
        <f t="shared" si="1"/>
        <v>6.0903128749792765</v>
      </c>
      <c r="G31" s="99">
        <f t="shared" si="1"/>
        <v>7.03827657288731</v>
      </c>
      <c r="H31" s="99">
        <f t="shared" si="1"/>
        <v>8.054778444407606</v>
      </c>
      <c r="I31" s="99">
        <f t="shared" si="1"/>
        <v>9.13981848954016</v>
      </c>
      <c r="J31" s="99">
        <f t="shared" si="1"/>
        <v>10.293396708284979</v>
      </c>
      <c r="K31" s="99">
        <f t="shared" si="1"/>
        <v>11.515513100642062</v>
      </c>
      <c r="L31" s="99">
        <f t="shared" si="1"/>
        <v>12.806167666611405</v>
      </c>
      <c r="M31" s="99">
        <f t="shared" si="1"/>
        <v>14.165360406193015</v>
      </c>
      <c r="N31" s="100">
        <f t="shared" si="1"/>
        <v>15.593091319386879</v>
      </c>
      <c r="P31" s="18"/>
    </row>
    <row r="32" spans="2:16" ht="12.75">
      <c r="B32" s="10">
        <v>45</v>
      </c>
      <c r="C32" s="115">
        <v>55</v>
      </c>
      <c r="D32" s="110">
        <f t="shared" si="0"/>
        <v>4.4</v>
      </c>
      <c r="E32" s="99">
        <f t="shared" si="1"/>
        <v>5.119977878222576</v>
      </c>
      <c r="F32" s="99">
        <f t="shared" si="1"/>
        <v>5.894484400842774</v>
      </c>
      <c r="G32" s="99">
        <f t="shared" si="1"/>
        <v>6.723519567860599</v>
      </c>
      <c r="H32" s="99">
        <f t="shared" si="1"/>
        <v>7.607083379276045</v>
      </c>
      <c r="I32" s="99">
        <f t="shared" si="1"/>
        <v>8.545175835089113</v>
      </c>
      <c r="J32" s="99">
        <f t="shared" si="1"/>
        <v>9.53779693529981</v>
      </c>
      <c r="K32" s="99">
        <f t="shared" si="1"/>
        <v>10.584946679908127</v>
      </c>
      <c r="L32" s="99">
        <f t="shared" si="1"/>
        <v>11.686625068914068</v>
      </c>
      <c r="M32" s="99">
        <f t="shared" si="1"/>
        <v>12.842832102317633</v>
      </c>
      <c r="N32" s="100">
        <f t="shared" si="1"/>
        <v>14.05356778011882</v>
      </c>
      <c r="P32" s="18"/>
    </row>
    <row r="33" spans="2:16" ht="12.75">
      <c r="B33" s="10">
        <v>50</v>
      </c>
      <c r="C33" s="115">
        <v>50</v>
      </c>
      <c r="D33" s="110">
        <f t="shared" si="0"/>
        <v>4.4</v>
      </c>
      <c r="E33" s="99">
        <f t="shared" si="1"/>
        <v>5.029868405761644</v>
      </c>
      <c r="F33" s="99">
        <f t="shared" si="1"/>
        <v>5.701855926706272</v>
      </c>
      <c r="G33" s="99">
        <f t="shared" si="1"/>
        <v>6.415962562833887</v>
      </c>
      <c r="H33" s="99">
        <f t="shared" si="1"/>
        <v>7.1721883141444875</v>
      </c>
      <c r="I33" s="99">
        <f t="shared" si="1"/>
        <v>7.970533180638068</v>
      </c>
      <c r="J33" s="99">
        <f t="shared" si="1"/>
        <v>8.810997162314635</v>
      </c>
      <c r="K33" s="99">
        <f t="shared" si="1"/>
        <v>9.693580259174187</v>
      </c>
      <c r="L33" s="99">
        <f t="shared" si="1"/>
        <v>10.61828247121673</v>
      </c>
      <c r="M33" s="99">
        <f t="shared" si="1"/>
        <v>11.585103798442251</v>
      </c>
      <c r="N33" s="100">
        <f t="shared" si="1"/>
        <v>12.594044240850758</v>
      </c>
      <c r="P33" s="18"/>
    </row>
    <row r="34" spans="2:16" ht="12.75">
      <c r="B34" s="10">
        <v>55</v>
      </c>
      <c r="C34" s="115">
        <v>45</v>
      </c>
      <c r="D34" s="110">
        <f t="shared" si="0"/>
        <v>4.4</v>
      </c>
      <c r="E34" s="99">
        <f t="shared" si="1"/>
        <v>4.9405589333007125</v>
      </c>
      <c r="F34" s="99">
        <f t="shared" si="1"/>
        <v>5.5124274525697725</v>
      </c>
      <c r="G34" s="99">
        <f t="shared" si="1"/>
        <v>6.115605557807176</v>
      </c>
      <c r="H34" s="99">
        <f t="shared" si="1"/>
        <v>6.750093249012926</v>
      </c>
      <c r="I34" s="99">
        <f t="shared" si="1"/>
        <v>7.415890526187024</v>
      </c>
      <c r="J34" s="99">
        <f t="shared" si="1"/>
        <v>8.112997389329466</v>
      </c>
      <c r="K34" s="99">
        <f t="shared" si="1"/>
        <v>8.841413838440253</v>
      </c>
      <c r="L34" s="99">
        <f t="shared" si="1"/>
        <v>9.60113987351939</v>
      </c>
      <c r="M34" s="99">
        <f t="shared" si="1"/>
        <v>10.392175494566873</v>
      </c>
      <c r="N34" s="100">
        <f t="shared" si="1"/>
        <v>11.214520701582696</v>
      </c>
      <c r="P34" s="18"/>
    </row>
    <row r="35" spans="2:16" ht="12.75">
      <c r="B35" s="10">
        <v>60</v>
      </c>
      <c r="C35" s="115">
        <v>40</v>
      </c>
      <c r="D35" s="110">
        <f t="shared" si="0"/>
        <v>4.4</v>
      </c>
      <c r="E35" s="99">
        <f t="shared" si="1"/>
        <v>4.852049460839781</v>
      </c>
      <c r="F35" s="99">
        <f t="shared" si="1"/>
        <v>5.32619897843327</v>
      </c>
      <c r="G35" s="99">
        <f t="shared" si="1"/>
        <v>5.822448552780465</v>
      </c>
      <c r="H35" s="99">
        <f t="shared" si="1"/>
        <v>6.340798183881369</v>
      </c>
      <c r="I35" s="99">
        <f t="shared" si="1"/>
        <v>6.881247871735979</v>
      </c>
      <c r="J35" s="99">
        <f t="shared" si="1"/>
        <v>7.443797616344297</v>
      </c>
      <c r="K35" s="99">
        <f t="shared" si="1"/>
        <v>8.028447417706321</v>
      </c>
      <c r="L35" s="99">
        <f t="shared" si="1"/>
        <v>8.635197275822055</v>
      </c>
      <c r="M35" s="99">
        <f t="shared" si="1"/>
        <v>9.264047190691493</v>
      </c>
      <c r="N35" s="100">
        <f t="shared" si="1"/>
        <v>9.914997162314638</v>
      </c>
      <c r="P35" s="18"/>
    </row>
    <row r="36" spans="2:16" ht="12.75">
      <c r="B36" s="10">
        <v>65</v>
      </c>
      <c r="C36" s="115">
        <v>35</v>
      </c>
      <c r="D36" s="110">
        <f t="shared" si="0"/>
        <v>4.4</v>
      </c>
      <c r="E36" s="99">
        <f t="shared" si="1"/>
        <v>4.764339988378851</v>
      </c>
      <c r="F36" s="99">
        <f t="shared" si="1"/>
        <v>5.143170504296768</v>
      </c>
      <c r="G36" s="99">
        <f t="shared" si="1"/>
        <v>5.536491547753756</v>
      </c>
      <c r="H36" s="99">
        <f t="shared" si="1"/>
        <v>5.94430311874981</v>
      </c>
      <c r="I36" s="99">
        <f t="shared" si="1"/>
        <v>6.366605217284932</v>
      </c>
      <c r="J36" s="99">
        <f t="shared" si="1"/>
        <v>6.803397843359123</v>
      </c>
      <c r="K36" s="99">
        <f t="shared" si="1"/>
        <v>7.254680996972385</v>
      </c>
      <c r="L36" s="99">
        <f t="shared" si="1"/>
        <v>7.720454678124715</v>
      </c>
      <c r="M36" s="99">
        <f t="shared" si="1"/>
        <v>8.20071888681611</v>
      </c>
      <c r="N36" s="100">
        <f t="shared" si="1"/>
        <v>8.695473623046576</v>
      </c>
      <c r="P36" s="18"/>
    </row>
    <row r="37" spans="2:16" ht="12.75">
      <c r="B37" s="10">
        <v>70</v>
      </c>
      <c r="C37" s="115">
        <v>30</v>
      </c>
      <c r="D37" s="110">
        <f t="shared" si="0"/>
        <v>4.4</v>
      </c>
      <c r="E37" s="99">
        <f t="shared" si="1"/>
        <v>4.677430515917919</v>
      </c>
      <c r="F37" s="99">
        <f t="shared" si="1"/>
        <v>4.963342030160266</v>
      </c>
      <c r="G37" s="99">
        <f t="shared" si="1"/>
        <v>5.257734542727043</v>
      </c>
      <c r="H37" s="99">
        <f t="shared" si="1"/>
        <v>5.560608053618253</v>
      </c>
      <c r="I37" s="99">
        <f t="shared" si="1"/>
        <v>5.871962562833886</v>
      </c>
      <c r="J37" s="99">
        <f t="shared" si="1"/>
        <v>6.1917980703739515</v>
      </c>
      <c r="K37" s="99">
        <f t="shared" si="1"/>
        <v>6.520114576238449</v>
      </c>
      <c r="L37" s="99">
        <f t="shared" si="1"/>
        <v>6.856912080427376</v>
      </c>
      <c r="M37" s="99">
        <f t="shared" si="1"/>
        <v>7.20219058294073</v>
      </c>
      <c r="N37" s="100">
        <f t="shared" si="1"/>
        <v>7.555950083778517</v>
      </c>
      <c r="P37" s="18"/>
    </row>
    <row r="38" spans="2:16" ht="12.75">
      <c r="B38" s="10">
        <v>75</v>
      </c>
      <c r="C38" s="115">
        <v>25</v>
      </c>
      <c r="D38" s="110">
        <f t="shared" si="0"/>
        <v>4.4</v>
      </c>
      <c r="E38" s="99">
        <f t="shared" si="1"/>
        <v>4.591321043456986</v>
      </c>
      <c r="F38" s="99">
        <f t="shared" si="1"/>
        <v>4.786713556023765</v>
      </c>
      <c r="G38" s="99">
        <f t="shared" si="1"/>
        <v>4.986177537700332</v>
      </c>
      <c r="H38" s="99">
        <f t="shared" si="1"/>
        <v>5.189712988486692</v>
      </c>
      <c r="I38" s="99">
        <f t="shared" si="1"/>
        <v>5.3973199083828405</v>
      </c>
      <c r="J38" s="99">
        <f t="shared" si="1"/>
        <v>5.608998297388783</v>
      </c>
      <c r="K38" s="99">
        <f t="shared" si="1"/>
        <v>5.8247481555045155</v>
      </c>
      <c r="L38" s="99">
        <f t="shared" si="1"/>
        <v>6.044569482730037</v>
      </c>
      <c r="M38" s="99">
        <f t="shared" si="1"/>
        <v>6.268462279065352</v>
      </c>
      <c r="N38" s="100">
        <f t="shared" si="1"/>
        <v>6.496426544510455</v>
      </c>
      <c r="P38" s="18"/>
    </row>
    <row r="39" spans="2:16" ht="12.75">
      <c r="B39" s="10">
        <v>80</v>
      </c>
      <c r="C39" s="115">
        <v>20</v>
      </c>
      <c r="D39" s="110">
        <f t="shared" si="0"/>
        <v>4.4</v>
      </c>
      <c r="E39" s="99">
        <f aca="true" t="shared" si="2" ref="E39:N39">((1-$D$14/100)*(1-E$22/100)*($D$9)^0.5+($D$14/100)*(1-E$22/100)*($D$10)^0.5+(E$22/100)*$C39/100*($D$11)^0.5+(E$22/100)*$B39/100*($D$12)^0.5)^2</f>
        <v>4.506011570996055</v>
      </c>
      <c r="F39" s="99">
        <f t="shared" si="2"/>
        <v>4.613285081887263</v>
      </c>
      <c r="G39" s="99">
        <f t="shared" si="2"/>
        <v>4.721820532673623</v>
      </c>
      <c r="H39" s="99">
        <f t="shared" si="2"/>
        <v>4.831617923355134</v>
      </c>
      <c r="I39" s="99">
        <f t="shared" si="2"/>
        <v>4.942677253931796</v>
      </c>
      <c r="J39" s="99">
        <f t="shared" si="2"/>
        <v>5.054998524403613</v>
      </c>
      <c r="K39" s="99">
        <f t="shared" si="2"/>
        <v>5.168581734770579</v>
      </c>
      <c r="L39" s="99">
        <f t="shared" si="2"/>
        <v>5.283426885032698</v>
      </c>
      <c r="M39" s="99">
        <f t="shared" si="2"/>
        <v>5.3995339751899705</v>
      </c>
      <c r="N39" s="100">
        <f t="shared" si="2"/>
        <v>5.516903005242393</v>
      </c>
      <c r="P39" s="18"/>
    </row>
    <row r="40" spans="2:16" ht="12.75">
      <c r="B40" s="10">
        <v>85</v>
      </c>
      <c r="C40" s="115">
        <v>15</v>
      </c>
      <c r="D40" s="110">
        <f aca="true" t="shared" si="3" ref="D40:N43">((1-$D$14/100)*(1-D$22/100)*($D$9)^0.5+($D$14/100)*(1-D$22/100)*($D$10)^0.5+(D$22/100)*$C40/100*($D$11)^0.5+(D$22/100)*$B40/100*($D$12)^0.5)^2</f>
        <v>4.4</v>
      </c>
      <c r="E40" s="99">
        <f t="shared" si="3"/>
        <v>4.4215020985351225</v>
      </c>
      <c r="F40" s="99">
        <f t="shared" si="3"/>
        <v>4.44305660775076</v>
      </c>
      <c r="G40" s="99">
        <f t="shared" si="3"/>
        <v>4.464663527646911</v>
      </c>
      <c r="H40" s="99">
        <f t="shared" si="3"/>
        <v>4.486322858223575</v>
      </c>
      <c r="I40" s="99">
        <f t="shared" si="3"/>
        <v>4.508034599480751</v>
      </c>
      <c r="J40" s="99">
        <f t="shared" si="3"/>
        <v>4.52979875141844</v>
      </c>
      <c r="K40" s="99">
        <f t="shared" si="3"/>
        <v>4.551615314036644</v>
      </c>
      <c r="L40" s="99">
        <f t="shared" si="3"/>
        <v>4.573484287335361</v>
      </c>
      <c r="M40" s="99">
        <f t="shared" si="3"/>
        <v>4.59540567131459</v>
      </c>
      <c r="N40" s="100">
        <f t="shared" si="3"/>
        <v>4.617379465974333</v>
      </c>
      <c r="P40" s="18"/>
    </row>
    <row r="41" spans="2:16" ht="12.75">
      <c r="B41" s="10">
        <v>90</v>
      </c>
      <c r="C41" s="115">
        <v>10</v>
      </c>
      <c r="D41" s="110">
        <f t="shared" si="3"/>
        <v>4.4</v>
      </c>
      <c r="E41" s="99">
        <f t="shared" si="3"/>
        <v>4.337792626074191</v>
      </c>
      <c r="F41" s="99">
        <f t="shared" si="3"/>
        <v>4.2760281336142585</v>
      </c>
      <c r="G41" s="99">
        <f t="shared" si="3"/>
        <v>4.2147065226202</v>
      </c>
      <c r="H41" s="99">
        <f t="shared" si="3"/>
        <v>4.153827793092016</v>
      </c>
      <c r="I41" s="99">
        <f t="shared" si="3"/>
        <v>4.093391945029705</v>
      </c>
      <c r="J41" s="99">
        <f t="shared" si="3"/>
        <v>4.03339897843327</v>
      </c>
      <c r="K41" s="99">
        <f t="shared" si="3"/>
        <v>3.973848893302708</v>
      </c>
      <c r="L41" s="99">
        <f t="shared" si="3"/>
        <v>3.9147416896380225</v>
      </c>
      <c r="M41" s="99">
        <f t="shared" si="3"/>
        <v>3.856077367439211</v>
      </c>
      <c r="N41" s="100">
        <f t="shared" si="3"/>
        <v>3.797855926706273</v>
      </c>
      <c r="P41" s="18"/>
    </row>
    <row r="42" spans="2:16" ht="12.75">
      <c r="B42" s="10">
        <v>95</v>
      </c>
      <c r="C42" s="115">
        <v>5</v>
      </c>
      <c r="D42" s="110">
        <f t="shared" si="3"/>
        <v>4.4</v>
      </c>
      <c r="E42" s="99">
        <f t="shared" si="3"/>
        <v>4.254883153613259</v>
      </c>
      <c r="F42" s="99">
        <f t="shared" si="3"/>
        <v>4.112199659477756</v>
      </c>
      <c r="G42" s="99">
        <f t="shared" si="3"/>
        <v>3.971949517593489</v>
      </c>
      <c r="H42" s="99">
        <f t="shared" si="3"/>
        <v>3.834132727960457</v>
      </c>
      <c r="I42" s="99">
        <f t="shared" si="3"/>
        <v>3.69874929057866</v>
      </c>
      <c r="J42" s="99">
        <f t="shared" si="3"/>
        <v>3.565799205448098</v>
      </c>
      <c r="K42" s="99">
        <f t="shared" si="3"/>
        <v>3.4352824725687734</v>
      </c>
      <c r="L42" s="99">
        <f t="shared" si="3"/>
        <v>3.3071990919406837</v>
      </c>
      <c r="M42" s="99">
        <f t="shared" si="3"/>
        <v>3.1815490635638306</v>
      </c>
      <c r="N42" s="100">
        <f t="shared" si="3"/>
        <v>3.058332387438213</v>
      </c>
      <c r="P42" s="18"/>
    </row>
    <row r="43" spans="2:16" ht="13.5" thickBot="1">
      <c r="B43" s="13">
        <v>100</v>
      </c>
      <c r="C43" s="116">
        <v>0</v>
      </c>
      <c r="D43" s="111">
        <f t="shared" si="3"/>
        <v>4.4</v>
      </c>
      <c r="E43" s="101">
        <f t="shared" si="3"/>
        <v>4.172773681152329</v>
      </c>
      <c r="F43" s="101">
        <f t="shared" si="3"/>
        <v>3.951571185341255</v>
      </c>
      <c r="G43" s="101">
        <f t="shared" si="3"/>
        <v>3.736392512566778</v>
      </c>
      <c r="H43" s="101">
        <f t="shared" si="3"/>
        <v>3.527237662828898</v>
      </c>
      <c r="I43" s="101">
        <f t="shared" si="3"/>
        <v>3.324106636127614</v>
      </c>
      <c r="J43" s="101">
        <f t="shared" si="3"/>
        <v>3.1269994324629273</v>
      </c>
      <c r="K43" s="101">
        <f t="shared" si="3"/>
        <v>2.9359160518348384</v>
      </c>
      <c r="L43" s="101">
        <f t="shared" si="3"/>
        <v>2.7508564942433464</v>
      </c>
      <c r="M43" s="101">
        <f t="shared" si="3"/>
        <v>2.5718207596884506</v>
      </c>
      <c r="N43" s="102">
        <f t="shared" si="3"/>
        <v>2.3988088481701517</v>
      </c>
      <c r="P43" s="16"/>
    </row>
    <row r="44" spans="2:16" ht="13.5" thickTop="1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P44" s="16"/>
    </row>
    <row r="45" spans="2:14" ht="12.7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2.75">
      <c r="B46" s="2" t="s">
        <v>61</v>
      </c>
    </row>
    <row r="47" spans="2:4" ht="13.5" thickBot="1">
      <c r="B47" s="96"/>
      <c r="C47" s="4"/>
      <c r="D47" s="2" t="s">
        <v>63</v>
      </c>
    </row>
    <row r="48" spans="2:14" ht="13.5" thickTop="1">
      <c r="B48" s="108" t="s">
        <v>72</v>
      </c>
      <c r="C48" s="112"/>
      <c r="D48" s="97" t="s">
        <v>0</v>
      </c>
      <c r="E48" s="97"/>
      <c r="F48" s="97"/>
      <c r="G48" s="97"/>
      <c r="H48" s="97"/>
      <c r="I48" s="97"/>
      <c r="J48" s="97"/>
      <c r="K48" s="97"/>
      <c r="L48" s="97"/>
      <c r="M48" s="97"/>
      <c r="N48" s="98"/>
    </row>
    <row r="49" spans="2:14" ht="13.5" thickBot="1">
      <c r="B49" s="105" t="str">
        <f>C12</f>
        <v>Air</v>
      </c>
      <c r="C49" s="113" t="str">
        <f>C11</f>
        <v>Water</v>
      </c>
      <c r="D49" s="109">
        <v>0</v>
      </c>
      <c r="E49" s="106">
        <v>5</v>
      </c>
      <c r="F49" s="106">
        <v>10</v>
      </c>
      <c r="G49" s="106">
        <v>15</v>
      </c>
      <c r="H49" s="106">
        <v>20</v>
      </c>
      <c r="I49" s="106">
        <v>25</v>
      </c>
      <c r="J49" s="106">
        <v>30</v>
      </c>
      <c r="K49" s="106">
        <v>35</v>
      </c>
      <c r="L49" s="106">
        <v>40</v>
      </c>
      <c r="M49" s="106">
        <v>45</v>
      </c>
      <c r="N49" s="107">
        <v>50</v>
      </c>
    </row>
    <row r="50" spans="2:14" ht="12.75">
      <c r="B50" s="20">
        <v>0</v>
      </c>
      <c r="C50" s="114">
        <v>100</v>
      </c>
      <c r="D50" s="8">
        <f aca="true" t="shared" si="4" ref="D50:N59">((1-$D$15/100)*(1-D$49/100)*($D$9)^0.5+($D$15/100)*(1-D$49/100)*($D$10)^0.5+(D$49/100)*$C50/100*($D$11)^0.5+(D$49/100)*$B50/100*($D$12)^0.5)^2</f>
        <v>4.4</v>
      </c>
      <c r="E50" s="103">
        <f t="shared" si="4"/>
        <v>5.96696313037096</v>
      </c>
      <c r="F50" s="103">
        <f t="shared" si="4"/>
        <v>7.772140668071293</v>
      </c>
      <c r="G50" s="103">
        <f t="shared" si="4"/>
        <v>9.815532613100995</v>
      </c>
      <c r="H50" s="103">
        <f t="shared" si="4"/>
        <v>12.097138965460076</v>
      </c>
      <c r="I50" s="103">
        <f t="shared" si="4"/>
        <v>14.616959725148522</v>
      </c>
      <c r="J50" s="103">
        <f t="shared" si="4"/>
        <v>17.37499489216634</v>
      </c>
      <c r="K50" s="103">
        <f t="shared" si="4"/>
        <v>20.37124446651354</v>
      </c>
      <c r="L50" s="103">
        <f t="shared" si="4"/>
        <v>23.605708448190114</v>
      </c>
      <c r="M50" s="103">
        <f t="shared" si="4"/>
        <v>27.07838683719605</v>
      </c>
      <c r="N50" s="104">
        <f t="shared" si="4"/>
        <v>30.78927963353137</v>
      </c>
    </row>
    <row r="51" spans="2:14" ht="12.75">
      <c r="B51" s="10">
        <v>5</v>
      </c>
      <c r="C51" s="115">
        <v>95</v>
      </c>
      <c r="D51" s="110">
        <f t="shared" si="4"/>
        <v>4.4</v>
      </c>
      <c r="E51" s="99">
        <f t="shared" si="4"/>
        <v>5.8696536579100265</v>
      </c>
      <c r="F51" s="99">
        <f t="shared" si="4"/>
        <v>7.55071219393479</v>
      </c>
      <c r="G51" s="99">
        <f t="shared" si="4"/>
        <v>9.443175608074283</v>
      </c>
      <c r="H51" s="99">
        <f t="shared" si="4"/>
        <v>11.547043900328516</v>
      </c>
      <c r="I51" s="99">
        <f t="shared" si="4"/>
        <v>13.862317070697479</v>
      </c>
      <c r="J51" s="99">
        <f t="shared" si="4"/>
        <v>16.38899511918117</v>
      </c>
      <c r="K51" s="99">
        <f t="shared" si="4"/>
        <v>19.12707804577961</v>
      </c>
      <c r="L51" s="99">
        <f t="shared" si="4"/>
        <v>22.076565850492766</v>
      </c>
      <c r="M51" s="99">
        <f t="shared" si="4"/>
        <v>25.237458533320673</v>
      </c>
      <c r="N51" s="100">
        <f t="shared" si="4"/>
        <v>28.609756094263297</v>
      </c>
    </row>
    <row r="52" spans="2:14" ht="12.75">
      <c r="B52" s="10">
        <v>10</v>
      </c>
      <c r="C52" s="115">
        <v>90</v>
      </c>
      <c r="D52" s="110">
        <f t="shared" si="4"/>
        <v>4.4</v>
      </c>
      <c r="E52" s="99">
        <f t="shared" si="4"/>
        <v>5.773144185449095</v>
      </c>
      <c r="F52" s="99">
        <f t="shared" si="4"/>
        <v>7.332483719798286</v>
      </c>
      <c r="G52" s="99">
        <f t="shared" si="4"/>
        <v>9.078018603047575</v>
      </c>
      <c r="H52" s="99">
        <f t="shared" si="4"/>
        <v>11.009748835196957</v>
      </c>
      <c r="I52" s="99">
        <f t="shared" si="4"/>
        <v>13.127674416246434</v>
      </c>
      <c r="J52" s="99">
        <f t="shared" si="4"/>
        <v>15.431795346196001</v>
      </c>
      <c r="K52" s="99">
        <f t="shared" si="4"/>
        <v>17.92211162504567</v>
      </c>
      <c r="L52" s="99">
        <f t="shared" si="4"/>
        <v>20.598623252795434</v>
      </c>
      <c r="M52" s="99">
        <f t="shared" si="4"/>
        <v>23.461330229445295</v>
      </c>
      <c r="N52" s="100">
        <f t="shared" si="4"/>
        <v>26.510232554995234</v>
      </c>
    </row>
    <row r="53" spans="2:14" ht="12.75">
      <c r="B53" s="10">
        <v>15</v>
      </c>
      <c r="C53" s="115">
        <v>85</v>
      </c>
      <c r="D53" s="110">
        <f t="shared" si="4"/>
        <v>4.4</v>
      </c>
      <c r="E53" s="99">
        <f t="shared" si="4"/>
        <v>5.6774347129881635</v>
      </c>
      <c r="F53" s="99">
        <f t="shared" si="4"/>
        <v>7.1174552456617866</v>
      </c>
      <c r="G53" s="99">
        <f t="shared" si="4"/>
        <v>8.720061598020864</v>
      </c>
      <c r="H53" s="99">
        <f t="shared" si="4"/>
        <v>10.485253770065396</v>
      </c>
      <c r="I53" s="99">
        <f t="shared" si="4"/>
        <v>12.413031761795388</v>
      </c>
      <c r="J53" s="99">
        <f t="shared" si="4"/>
        <v>14.503395573210833</v>
      </c>
      <c r="K53" s="99">
        <f t="shared" si="4"/>
        <v>16.756345204311735</v>
      </c>
      <c r="L53" s="99">
        <f t="shared" si="4"/>
        <v>19.171880655098096</v>
      </c>
      <c r="M53" s="99">
        <f t="shared" si="4"/>
        <v>21.75000192556991</v>
      </c>
      <c r="N53" s="100">
        <f t="shared" si="4"/>
        <v>24.49070901572718</v>
      </c>
    </row>
    <row r="54" spans="2:14" ht="12.75">
      <c r="B54" s="10">
        <v>20</v>
      </c>
      <c r="C54" s="115">
        <v>80</v>
      </c>
      <c r="D54" s="110">
        <f t="shared" si="4"/>
        <v>4.4</v>
      </c>
      <c r="E54" s="99">
        <f t="shared" si="4"/>
        <v>5.582525240527231</v>
      </c>
      <c r="F54" s="99">
        <f t="shared" si="4"/>
        <v>6.905626771525284</v>
      </c>
      <c r="G54" s="99">
        <f t="shared" si="4"/>
        <v>8.369304592994153</v>
      </c>
      <c r="H54" s="99">
        <f t="shared" si="4"/>
        <v>9.973558704933838</v>
      </c>
      <c r="I54" s="99">
        <f t="shared" si="4"/>
        <v>11.718389107344342</v>
      </c>
      <c r="J54" s="99">
        <f t="shared" si="4"/>
        <v>13.603795800225665</v>
      </c>
      <c r="K54" s="99">
        <f t="shared" si="4"/>
        <v>15.629778783577803</v>
      </c>
      <c r="L54" s="99">
        <f t="shared" si="4"/>
        <v>17.796338057400757</v>
      </c>
      <c r="M54" s="99">
        <f t="shared" si="4"/>
        <v>20.103473621694526</v>
      </c>
      <c r="N54" s="100">
        <f t="shared" si="4"/>
        <v>22.55118547645912</v>
      </c>
    </row>
    <row r="55" spans="2:14" ht="12.75">
      <c r="B55" s="10">
        <v>25</v>
      </c>
      <c r="C55" s="115">
        <v>75</v>
      </c>
      <c r="D55" s="110">
        <f t="shared" si="4"/>
        <v>4.4</v>
      </c>
      <c r="E55" s="99">
        <f t="shared" si="4"/>
        <v>5.488415768066302</v>
      </c>
      <c r="F55" s="99">
        <f t="shared" si="4"/>
        <v>6.696998297388782</v>
      </c>
      <c r="G55" s="99">
        <f t="shared" si="4"/>
        <v>8.025747587967444</v>
      </c>
      <c r="H55" s="99">
        <f t="shared" si="4"/>
        <v>9.474663639802278</v>
      </c>
      <c r="I55" s="99">
        <f t="shared" si="4"/>
        <v>11.043746452893295</v>
      </c>
      <c r="J55" s="99">
        <f t="shared" si="4"/>
        <v>12.73299602724049</v>
      </c>
      <c r="K55" s="99">
        <f t="shared" si="4"/>
        <v>14.542412362843868</v>
      </c>
      <c r="L55" s="99">
        <f t="shared" si="4"/>
        <v>16.471995459703415</v>
      </c>
      <c r="M55" s="99">
        <f t="shared" si="4"/>
        <v>18.521745317819157</v>
      </c>
      <c r="N55" s="100">
        <f t="shared" si="4"/>
        <v>20.691661937191064</v>
      </c>
    </row>
    <row r="56" spans="2:14" ht="12.75">
      <c r="B56" s="10">
        <v>30</v>
      </c>
      <c r="C56" s="115">
        <v>70</v>
      </c>
      <c r="D56" s="110">
        <f t="shared" si="4"/>
        <v>4.4</v>
      </c>
      <c r="E56" s="99">
        <f t="shared" si="4"/>
        <v>5.395106295605371</v>
      </c>
      <c r="F56" s="99">
        <f t="shared" si="4"/>
        <v>6.49156982325228</v>
      </c>
      <c r="G56" s="99">
        <f t="shared" si="4"/>
        <v>7.68939058294073</v>
      </c>
      <c r="H56" s="99">
        <f t="shared" si="4"/>
        <v>8.988568574670722</v>
      </c>
      <c r="I56" s="99">
        <f t="shared" si="4"/>
        <v>10.389103798442251</v>
      </c>
      <c r="J56" s="99">
        <f t="shared" si="4"/>
        <v>11.890996254255318</v>
      </c>
      <c r="K56" s="99">
        <f t="shared" si="4"/>
        <v>13.49424594210993</v>
      </c>
      <c r="L56" s="99">
        <f t="shared" si="4"/>
        <v>15.198852862006085</v>
      </c>
      <c r="M56" s="99">
        <f t="shared" si="4"/>
        <v>17.00481701394377</v>
      </c>
      <c r="N56" s="100">
        <f t="shared" si="4"/>
        <v>18.912138397923</v>
      </c>
    </row>
    <row r="57" spans="2:14" ht="12.75">
      <c r="B57" s="10">
        <v>35</v>
      </c>
      <c r="C57" s="115">
        <v>65</v>
      </c>
      <c r="D57" s="110">
        <f t="shared" si="4"/>
        <v>4.4</v>
      </c>
      <c r="E57" s="99">
        <f t="shared" si="4"/>
        <v>5.302596823144439</v>
      </c>
      <c r="F57" s="99">
        <f t="shared" si="4"/>
        <v>6.289341349115778</v>
      </c>
      <c r="G57" s="99">
        <f t="shared" si="4"/>
        <v>7.360233577914021</v>
      </c>
      <c r="H57" s="99">
        <f t="shared" si="4"/>
        <v>8.515273509539163</v>
      </c>
      <c r="I57" s="99">
        <f t="shared" si="4"/>
        <v>9.754461143991206</v>
      </c>
      <c r="J57" s="99">
        <f t="shared" si="4"/>
        <v>11.07779648127015</v>
      </c>
      <c r="K57" s="99">
        <f t="shared" si="4"/>
        <v>12.485279521375995</v>
      </c>
      <c r="L57" s="99">
        <f t="shared" si="4"/>
        <v>13.976910264308742</v>
      </c>
      <c r="M57" s="99">
        <f t="shared" si="4"/>
        <v>15.552688710068391</v>
      </c>
      <c r="N57" s="100">
        <f t="shared" si="4"/>
        <v>17.21261485865494</v>
      </c>
    </row>
    <row r="58" spans="2:14" ht="12.75">
      <c r="B58" s="10">
        <v>40</v>
      </c>
      <c r="C58" s="115">
        <v>60</v>
      </c>
      <c r="D58" s="110">
        <f t="shared" si="4"/>
        <v>4.4</v>
      </c>
      <c r="E58" s="99">
        <f t="shared" si="4"/>
        <v>5.210887350683508</v>
      </c>
      <c r="F58" s="99">
        <f t="shared" si="4"/>
        <v>6.0903128749792765</v>
      </c>
      <c r="G58" s="99">
        <f t="shared" si="4"/>
        <v>7.03827657288731</v>
      </c>
      <c r="H58" s="99">
        <f t="shared" si="4"/>
        <v>8.054778444407606</v>
      </c>
      <c r="I58" s="99">
        <f t="shared" si="4"/>
        <v>9.13981848954016</v>
      </c>
      <c r="J58" s="99">
        <f t="shared" si="4"/>
        <v>10.293396708284979</v>
      </c>
      <c r="K58" s="99">
        <f t="shared" si="4"/>
        <v>11.515513100642062</v>
      </c>
      <c r="L58" s="99">
        <f t="shared" si="4"/>
        <v>12.806167666611405</v>
      </c>
      <c r="M58" s="99">
        <f t="shared" si="4"/>
        <v>14.165360406193015</v>
      </c>
      <c r="N58" s="100">
        <f t="shared" si="4"/>
        <v>15.593091319386879</v>
      </c>
    </row>
    <row r="59" spans="2:14" ht="12.75">
      <c r="B59" s="10">
        <v>45</v>
      </c>
      <c r="C59" s="115">
        <v>55</v>
      </c>
      <c r="D59" s="110">
        <f t="shared" si="4"/>
        <v>4.4</v>
      </c>
      <c r="E59" s="99">
        <f t="shared" si="4"/>
        <v>5.119977878222576</v>
      </c>
      <c r="F59" s="99">
        <f t="shared" si="4"/>
        <v>5.894484400842774</v>
      </c>
      <c r="G59" s="99">
        <f t="shared" si="4"/>
        <v>6.723519567860599</v>
      </c>
      <c r="H59" s="99">
        <f t="shared" si="4"/>
        <v>7.607083379276045</v>
      </c>
      <c r="I59" s="99">
        <f t="shared" si="4"/>
        <v>8.545175835089113</v>
      </c>
      <c r="J59" s="99">
        <f t="shared" si="4"/>
        <v>9.53779693529981</v>
      </c>
      <c r="K59" s="99">
        <f t="shared" si="4"/>
        <v>10.584946679908127</v>
      </c>
      <c r="L59" s="99">
        <f t="shared" si="4"/>
        <v>11.686625068914068</v>
      </c>
      <c r="M59" s="99">
        <f t="shared" si="4"/>
        <v>12.842832102317633</v>
      </c>
      <c r="N59" s="100">
        <f t="shared" si="4"/>
        <v>14.05356778011882</v>
      </c>
    </row>
    <row r="60" spans="2:14" ht="12.75">
      <c r="B60" s="10">
        <v>50</v>
      </c>
      <c r="C60" s="115">
        <v>50</v>
      </c>
      <c r="D60" s="110">
        <f aca="true" t="shared" si="5" ref="D60:N70">((1-$D$15/100)*(1-D$49/100)*($D$9)^0.5+($D$15/100)*(1-D$49/100)*($D$10)^0.5+(D$49/100)*$C60/100*($D$11)^0.5+(D$49/100)*$B60/100*($D$12)^0.5)^2</f>
        <v>4.4</v>
      </c>
      <c r="E60" s="99">
        <f t="shared" si="5"/>
        <v>5.029868405761644</v>
      </c>
      <c r="F60" s="99">
        <f t="shared" si="5"/>
        <v>5.701855926706272</v>
      </c>
      <c r="G60" s="99">
        <f t="shared" si="5"/>
        <v>6.415962562833887</v>
      </c>
      <c r="H60" s="99">
        <f t="shared" si="5"/>
        <v>7.1721883141444875</v>
      </c>
      <c r="I60" s="99">
        <f t="shared" si="5"/>
        <v>7.970533180638068</v>
      </c>
      <c r="J60" s="99">
        <f t="shared" si="5"/>
        <v>8.810997162314635</v>
      </c>
      <c r="K60" s="99">
        <f t="shared" si="5"/>
        <v>9.693580259174187</v>
      </c>
      <c r="L60" s="99">
        <f t="shared" si="5"/>
        <v>10.61828247121673</v>
      </c>
      <c r="M60" s="99">
        <f t="shared" si="5"/>
        <v>11.585103798442251</v>
      </c>
      <c r="N60" s="100">
        <f t="shared" si="5"/>
        <v>12.594044240850758</v>
      </c>
    </row>
    <row r="61" spans="2:14" ht="12.75">
      <c r="B61" s="10">
        <v>55</v>
      </c>
      <c r="C61" s="115">
        <v>45</v>
      </c>
      <c r="D61" s="110">
        <f t="shared" si="5"/>
        <v>4.4</v>
      </c>
      <c r="E61" s="99">
        <f t="shared" si="5"/>
        <v>4.9405589333007125</v>
      </c>
      <c r="F61" s="99">
        <f t="shared" si="5"/>
        <v>5.5124274525697725</v>
      </c>
      <c r="G61" s="99">
        <f t="shared" si="5"/>
        <v>6.115605557807176</v>
      </c>
      <c r="H61" s="99">
        <f t="shared" si="5"/>
        <v>6.750093249012926</v>
      </c>
      <c r="I61" s="99">
        <f t="shared" si="5"/>
        <v>7.415890526187024</v>
      </c>
      <c r="J61" s="99">
        <f t="shared" si="5"/>
        <v>8.112997389329466</v>
      </c>
      <c r="K61" s="99">
        <f t="shared" si="5"/>
        <v>8.841413838440253</v>
      </c>
      <c r="L61" s="99">
        <f t="shared" si="5"/>
        <v>9.60113987351939</v>
      </c>
      <c r="M61" s="99">
        <f t="shared" si="5"/>
        <v>10.392175494566873</v>
      </c>
      <c r="N61" s="100">
        <f t="shared" si="5"/>
        <v>11.214520701582696</v>
      </c>
    </row>
    <row r="62" spans="2:14" ht="12.75">
      <c r="B62" s="10">
        <v>60</v>
      </c>
      <c r="C62" s="115">
        <v>40</v>
      </c>
      <c r="D62" s="110">
        <f t="shared" si="5"/>
        <v>4.4</v>
      </c>
      <c r="E62" s="99">
        <f t="shared" si="5"/>
        <v>4.852049460839781</v>
      </c>
      <c r="F62" s="99">
        <f t="shared" si="5"/>
        <v>5.32619897843327</v>
      </c>
      <c r="G62" s="99">
        <f t="shared" si="5"/>
        <v>5.822448552780465</v>
      </c>
      <c r="H62" s="99">
        <f t="shared" si="5"/>
        <v>6.340798183881369</v>
      </c>
      <c r="I62" s="99">
        <f t="shared" si="5"/>
        <v>6.881247871735979</v>
      </c>
      <c r="J62" s="99">
        <f t="shared" si="5"/>
        <v>7.443797616344297</v>
      </c>
      <c r="K62" s="99">
        <f t="shared" si="5"/>
        <v>8.028447417706321</v>
      </c>
      <c r="L62" s="99">
        <f t="shared" si="5"/>
        <v>8.635197275822055</v>
      </c>
      <c r="M62" s="99">
        <f t="shared" si="5"/>
        <v>9.264047190691493</v>
      </c>
      <c r="N62" s="100">
        <f t="shared" si="5"/>
        <v>9.914997162314638</v>
      </c>
    </row>
    <row r="63" spans="2:14" ht="12.75">
      <c r="B63" s="10">
        <v>65</v>
      </c>
      <c r="C63" s="115">
        <v>35</v>
      </c>
      <c r="D63" s="110">
        <f t="shared" si="5"/>
        <v>4.4</v>
      </c>
      <c r="E63" s="99">
        <f t="shared" si="5"/>
        <v>4.764339988378851</v>
      </c>
      <c r="F63" s="99">
        <f t="shared" si="5"/>
        <v>5.143170504296768</v>
      </c>
      <c r="G63" s="99">
        <f t="shared" si="5"/>
        <v>5.536491547753756</v>
      </c>
      <c r="H63" s="99">
        <f t="shared" si="5"/>
        <v>5.94430311874981</v>
      </c>
      <c r="I63" s="99">
        <f t="shared" si="5"/>
        <v>6.366605217284932</v>
      </c>
      <c r="J63" s="99">
        <f t="shared" si="5"/>
        <v>6.803397843359123</v>
      </c>
      <c r="K63" s="99">
        <f t="shared" si="5"/>
        <v>7.254680996972385</v>
      </c>
      <c r="L63" s="99">
        <f t="shared" si="5"/>
        <v>7.720454678124715</v>
      </c>
      <c r="M63" s="99">
        <f t="shared" si="5"/>
        <v>8.20071888681611</v>
      </c>
      <c r="N63" s="100">
        <f t="shared" si="5"/>
        <v>8.695473623046576</v>
      </c>
    </row>
    <row r="64" spans="2:14" ht="12.75">
      <c r="B64" s="10">
        <v>70</v>
      </c>
      <c r="C64" s="115">
        <v>30</v>
      </c>
      <c r="D64" s="110">
        <f t="shared" si="5"/>
        <v>4.4</v>
      </c>
      <c r="E64" s="99">
        <f t="shared" si="5"/>
        <v>4.677430515917919</v>
      </c>
      <c r="F64" s="99">
        <f t="shared" si="5"/>
        <v>4.963342030160266</v>
      </c>
      <c r="G64" s="99">
        <f t="shared" si="5"/>
        <v>5.257734542727043</v>
      </c>
      <c r="H64" s="99">
        <f t="shared" si="5"/>
        <v>5.560608053618253</v>
      </c>
      <c r="I64" s="99">
        <f t="shared" si="5"/>
        <v>5.871962562833886</v>
      </c>
      <c r="J64" s="99">
        <f t="shared" si="5"/>
        <v>6.1917980703739515</v>
      </c>
      <c r="K64" s="99">
        <f t="shared" si="5"/>
        <v>6.520114576238449</v>
      </c>
      <c r="L64" s="99">
        <f t="shared" si="5"/>
        <v>6.856912080427376</v>
      </c>
      <c r="M64" s="99">
        <f t="shared" si="5"/>
        <v>7.20219058294073</v>
      </c>
      <c r="N64" s="100">
        <f t="shared" si="5"/>
        <v>7.555950083778517</v>
      </c>
    </row>
    <row r="65" spans="2:14" ht="12.75">
      <c r="B65" s="10">
        <v>75</v>
      </c>
      <c r="C65" s="115">
        <v>25</v>
      </c>
      <c r="D65" s="110">
        <f t="shared" si="5"/>
        <v>4.4</v>
      </c>
      <c r="E65" s="99">
        <f t="shared" si="5"/>
        <v>4.591321043456986</v>
      </c>
      <c r="F65" s="99">
        <f t="shared" si="5"/>
        <v>4.786713556023765</v>
      </c>
      <c r="G65" s="99">
        <f t="shared" si="5"/>
        <v>4.986177537700332</v>
      </c>
      <c r="H65" s="99">
        <f t="shared" si="5"/>
        <v>5.189712988486692</v>
      </c>
      <c r="I65" s="99">
        <f t="shared" si="5"/>
        <v>5.3973199083828405</v>
      </c>
      <c r="J65" s="99">
        <f t="shared" si="5"/>
        <v>5.608998297388783</v>
      </c>
      <c r="K65" s="99">
        <f t="shared" si="5"/>
        <v>5.8247481555045155</v>
      </c>
      <c r="L65" s="99">
        <f t="shared" si="5"/>
        <v>6.044569482730037</v>
      </c>
      <c r="M65" s="99">
        <f t="shared" si="5"/>
        <v>6.268462279065352</v>
      </c>
      <c r="N65" s="100">
        <f t="shared" si="5"/>
        <v>6.496426544510455</v>
      </c>
    </row>
    <row r="66" spans="2:14" ht="12.75">
      <c r="B66" s="10">
        <v>80</v>
      </c>
      <c r="C66" s="115">
        <v>20</v>
      </c>
      <c r="D66" s="110">
        <f t="shared" si="5"/>
        <v>4.4</v>
      </c>
      <c r="E66" s="99">
        <f t="shared" si="5"/>
        <v>4.506011570996055</v>
      </c>
      <c r="F66" s="99">
        <f t="shared" si="5"/>
        <v>4.613285081887263</v>
      </c>
      <c r="G66" s="99">
        <f t="shared" si="5"/>
        <v>4.721820532673623</v>
      </c>
      <c r="H66" s="99">
        <f t="shared" si="5"/>
        <v>4.831617923355134</v>
      </c>
      <c r="I66" s="99">
        <f t="shared" si="5"/>
        <v>4.942677253931796</v>
      </c>
      <c r="J66" s="99">
        <f t="shared" si="5"/>
        <v>5.054998524403613</v>
      </c>
      <c r="K66" s="99">
        <f t="shared" si="5"/>
        <v>5.168581734770579</v>
      </c>
      <c r="L66" s="99">
        <f t="shared" si="5"/>
        <v>5.283426885032698</v>
      </c>
      <c r="M66" s="99">
        <f t="shared" si="5"/>
        <v>5.3995339751899705</v>
      </c>
      <c r="N66" s="100">
        <f t="shared" si="5"/>
        <v>5.516903005242393</v>
      </c>
    </row>
    <row r="67" spans="2:14" ht="12.75">
      <c r="B67" s="10">
        <v>85</v>
      </c>
      <c r="C67" s="115">
        <v>15</v>
      </c>
      <c r="D67" s="110">
        <f t="shared" si="5"/>
        <v>4.4</v>
      </c>
      <c r="E67" s="99">
        <f t="shared" si="5"/>
        <v>4.4215020985351225</v>
      </c>
      <c r="F67" s="99">
        <f t="shared" si="5"/>
        <v>4.44305660775076</v>
      </c>
      <c r="G67" s="99">
        <f t="shared" si="5"/>
        <v>4.464663527646911</v>
      </c>
      <c r="H67" s="99">
        <f t="shared" si="5"/>
        <v>4.486322858223575</v>
      </c>
      <c r="I67" s="99">
        <f t="shared" si="5"/>
        <v>4.508034599480751</v>
      </c>
      <c r="J67" s="99">
        <f t="shared" si="5"/>
        <v>4.52979875141844</v>
      </c>
      <c r="K67" s="99">
        <f t="shared" si="5"/>
        <v>4.551615314036644</v>
      </c>
      <c r="L67" s="99">
        <f t="shared" si="5"/>
        <v>4.573484287335361</v>
      </c>
      <c r="M67" s="99">
        <f t="shared" si="5"/>
        <v>4.59540567131459</v>
      </c>
      <c r="N67" s="100">
        <f t="shared" si="5"/>
        <v>4.617379465974333</v>
      </c>
    </row>
    <row r="68" spans="2:14" ht="12.75">
      <c r="B68" s="10">
        <v>90</v>
      </c>
      <c r="C68" s="115">
        <v>10</v>
      </c>
      <c r="D68" s="110">
        <f t="shared" si="5"/>
        <v>4.4</v>
      </c>
      <c r="E68" s="99">
        <f t="shared" si="5"/>
        <v>4.337792626074191</v>
      </c>
      <c r="F68" s="99">
        <f t="shared" si="5"/>
        <v>4.2760281336142585</v>
      </c>
      <c r="G68" s="99">
        <f t="shared" si="5"/>
        <v>4.2147065226202</v>
      </c>
      <c r="H68" s="99">
        <f t="shared" si="5"/>
        <v>4.153827793092016</v>
      </c>
      <c r="I68" s="99">
        <f t="shared" si="5"/>
        <v>4.093391945029705</v>
      </c>
      <c r="J68" s="99">
        <f t="shared" si="5"/>
        <v>4.03339897843327</v>
      </c>
      <c r="K68" s="99">
        <f t="shared" si="5"/>
        <v>3.973848893302708</v>
      </c>
      <c r="L68" s="99">
        <f t="shared" si="5"/>
        <v>3.9147416896380225</v>
      </c>
      <c r="M68" s="99">
        <f t="shared" si="5"/>
        <v>3.856077367439211</v>
      </c>
      <c r="N68" s="100">
        <f t="shared" si="5"/>
        <v>3.797855926706273</v>
      </c>
    </row>
    <row r="69" spans="2:14" ht="12.75">
      <c r="B69" s="10">
        <v>95</v>
      </c>
      <c r="C69" s="115">
        <v>5</v>
      </c>
      <c r="D69" s="110">
        <f t="shared" si="5"/>
        <v>4.4</v>
      </c>
      <c r="E69" s="99">
        <f t="shared" si="5"/>
        <v>4.254883153613259</v>
      </c>
      <c r="F69" s="99">
        <f t="shared" si="5"/>
        <v>4.112199659477756</v>
      </c>
      <c r="G69" s="99">
        <f t="shared" si="5"/>
        <v>3.971949517593489</v>
      </c>
      <c r="H69" s="99">
        <f t="shared" si="5"/>
        <v>3.834132727960457</v>
      </c>
      <c r="I69" s="99">
        <f t="shared" si="5"/>
        <v>3.69874929057866</v>
      </c>
      <c r="J69" s="99">
        <f t="shared" si="5"/>
        <v>3.565799205448098</v>
      </c>
      <c r="K69" s="99">
        <f t="shared" si="5"/>
        <v>3.4352824725687734</v>
      </c>
      <c r="L69" s="99">
        <f t="shared" si="5"/>
        <v>3.3071990919406837</v>
      </c>
      <c r="M69" s="99">
        <f t="shared" si="5"/>
        <v>3.1815490635638306</v>
      </c>
      <c r="N69" s="100">
        <f t="shared" si="5"/>
        <v>3.058332387438213</v>
      </c>
    </row>
    <row r="70" spans="2:14" ht="13.5" thickBot="1">
      <c r="B70" s="13">
        <v>100</v>
      </c>
      <c r="C70" s="116">
        <v>0</v>
      </c>
      <c r="D70" s="111">
        <f t="shared" si="5"/>
        <v>4.4</v>
      </c>
      <c r="E70" s="101">
        <f t="shared" si="5"/>
        <v>4.172773681152329</v>
      </c>
      <c r="F70" s="101">
        <f t="shared" si="5"/>
        <v>3.951571185341255</v>
      </c>
      <c r="G70" s="101">
        <f t="shared" si="5"/>
        <v>3.736392512566778</v>
      </c>
      <c r="H70" s="101">
        <f t="shared" si="5"/>
        <v>3.527237662828898</v>
      </c>
      <c r="I70" s="101">
        <f t="shared" si="5"/>
        <v>3.324106636127614</v>
      </c>
      <c r="J70" s="101">
        <f t="shared" si="5"/>
        <v>3.1269994324629273</v>
      </c>
      <c r="K70" s="101">
        <f t="shared" si="5"/>
        <v>2.9359160518348384</v>
      </c>
      <c r="L70" s="101">
        <f t="shared" si="5"/>
        <v>2.7508564942433464</v>
      </c>
      <c r="M70" s="101">
        <f t="shared" si="5"/>
        <v>2.5718207596884506</v>
      </c>
      <c r="N70" s="102">
        <f t="shared" si="5"/>
        <v>2.3988088481701517</v>
      </c>
    </row>
    <row r="71" spans="2:14" ht="13.5" thickTop="1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3" ht="12.75">
      <c r="B73" s="2" t="s">
        <v>62</v>
      </c>
    </row>
    <row r="74" spans="2:4" ht="13.5" thickBot="1">
      <c r="B74" s="96"/>
      <c r="C74" s="4"/>
      <c r="D74" s="2" t="s">
        <v>63</v>
      </c>
    </row>
    <row r="75" spans="2:14" ht="13.5" thickTop="1">
      <c r="B75" s="108" t="s">
        <v>72</v>
      </c>
      <c r="C75" s="112"/>
      <c r="D75" s="97" t="s">
        <v>0</v>
      </c>
      <c r="E75" s="97"/>
      <c r="F75" s="97"/>
      <c r="G75" s="97"/>
      <c r="H75" s="97"/>
      <c r="I75" s="97"/>
      <c r="J75" s="97"/>
      <c r="K75" s="97"/>
      <c r="L75" s="97"/>
      <c r="M75" s="97"/>
      <c r="N75" s="98"/>
    </row>
    <row r="76" spans="2:14" ht="13.5" thickBot="1">
      <c r="B76" s="105" t="str">
        <f>C12</f>
        <v>Air</v>
      </c>
      <c r="C76" s="113" t="str">
        <f>C11</f>
        <v>Water</v>
      </c>
      <c r="D76" s="109">
        <v>0</v>
      </c>
      <c r="E76" s="106">
        <v>5</v>
      </c>
      <c r="F76" s="106">
        <v>10</v>
      </c>
      <c r="G76" s="106">
        <v>15</v>
      </c>
      <c r="H76" s="106">
        <v>20</v>
      </c>
      <c r="I76" s="106">
        <v>25</v>
      </c>
      <c r="J76" s="106">
        <v>30</v>
      </c>
      <c r="K76" s="106">
        <v>35</v>
      </c>
      <c r="L76" s="106">
        <v>40</v>
      </c>
      <c r="M76" s="106">
        <v>45</v>
      </c>
      <c r="N76" s="107">
        <v>50</v>
      </c>
    </row>
    <row r="77" spans="2:14" ht="12.75">
      <c r="B77" s="20">
        <v>0</v>
      </c>
      <c r="C77" s="114">
        <v>100</v>
      </c>
      <c r="D77" s="8">
        <f aca="true" t="shared" si="6" ref="D77:N86">((1-$D$16/100)*(1-D$76/100)*($D$9)^0.5+($D$16/100)*(1-D$76/100)*($D$10)^0.5+(D$76/100)*$C77/100*($D$11)^0.5+(D$76/100)*$B77/100*($D$12)^0.5)^2</f>
        <v>8.5</v>
      </c>
      <c r="E77" s="103">
        <f t="shared" si="6"/>
        <v>10.366481935046366</v>
      </c>
      <c r="F77" s="103">
        <f t="shared" si="6"/>
        <v>12.418071034824695</v>
      </c>
      <c r="G77" s="103">
        <f t="shared" si="6"/>
        <v>14.65476729933498</v>
      </c>
      <c r="H77" s="103">
        <f t="shared" si="6"/>
        <v>17.076570728577238</v>
      </c>
      <c r="I77" s="103">
        <f t="shared" si="6"/>
        <v>19.683481322551447</v>
      </c>
      <c r="J77" s="103">
        <f t="shared" si="6"/>
        <v>22.47549908125762</v>
      </c>
      <c r="K77" s="103">
        <f t="shared" si="6"/>
        <v>25.452624004695753</v>
      </c>
      <c r="L77" s="103">
        <f t="shared" si="6"/>
        <v>28.61485609286585</v>
      </c>
      <c r="M77" s="103">
        <f t="shared" si="6"/>
        <v>31.962195345767903</v>
      </c>
      <c r="N77" s="104">
        <f t="shared" si="6"/>
        <v>35.49464176340192</v>
      </c>
    </row>
    <row r="78" spans="2:14" ht="12.75">
      <c r="B78" s="10">
        <v>5</v>
      </c>
      <c r="C78" s="115">
        <v>95</v>
      </c>
      <c r="D78" s="110">
        <f t="shared" si="6"/>
        <v>8.5</v>
      </c>
      <c r="E78" s="99">
        <f t="shared" si="6"/>
        <v>10.238093849044304</v>
      </c>
      <c r="F78" s="99">
        <f t="shared" si="6"/>
        <v>12.137756766610265</v>
      </c>
      <c r="G78" s="99">
        <f t="shared" si="6"/>
        <v>14.19898875269787</v>
      </c>
      <c r="H78" s="99">
        <f t="shared" si="6"/>
        <v>16.421789807307135</v>
      </c>
      <c r="I78" s="99">
        <f t="shared" si="6"/>
        <v>18.806159930438053</v>
      </c>
      <c r="J78" s="99">
        <f t="shared" si="6"/>
        <v>21.352099122090614</v>
      </c>
      <c r="K78" s="99">
        <f t="shared" si="6"/>
        <v>24.059607382264833</v>
      </c>
      <c r="L78" s="99">
        <f t="shared" si="6"/>
        <v>26.9286847109607</v>
      </c>
      <c r="M78" s="99">
        <f t="shared" si="6"/>
        <v>29.959331108178223</v>
      </c>
      <c r="N78" s="100">
        <f t="shared" si="6"/>
        <v>33.1515465739174</v>
      </c>
    </row>
    <row r="79" spans="2:14" ht="12.75">
      <c r="B79" s="10">
        <v>10</v>
      </c>
      <c r="C79" s="115">
        <v>90</v>
      </c>
      <c r="D79" s="110">
        <f t="shared" si="6"/>
        <v>8.5</v>
      </c>
      <c r="E79" s="99">
        <f t="shared" si="6"/>
        <v>10.11050576304224</v>
      </c>
      <c r="F79" s="99">
        <f t="shared" si="6"/>
        <v>11.860642498395833</v>
      </c>
      <c r="G79" s="99">
        <f t="shared" si="6"/>
        <v>13.750410206060762</v>
      </c>
      <c r="H79" s="99">
        <f t="shared" si="6"/>
        <v>15.779808886037033</v>
      </c>
      <c r="I79" s="99">
        <f t="shared" si="6"/>
        <v>17.94883853832465</v>
      </c>
      <c r="J79" s="99">
        <f t="shared" si="6"/>
        <v>20.257499162923615</v>
      </c>
      <c r="K79" s="99">
        <f t="shared" si="6"/>
        <v>22.705790759833906</v>
      </c>
      <c r="L79" s="99">
        <f t="shared" si="6"/>
        <v>25.293713329055546</v>
      </c>
      <c r="M79" s="99">
        <f t="shared" si="6"/>
        <v>28.02126687058854</v>
      </c>
      <c r="N79" s="100">
        <f t="shared" si="6"/>
        <v>30.88845138443287</v>
      </c>
    </row>
    <row r="80" spans="2:14" ht="12.75">
      <c r="B80" s="10">
        <v>15</v>
      </c>
      <c r="C80" s="115">
        <v>85</v>
      </c>
      <c r="D80" s="110">
        <f t="shared" si="6"/>
        <v>8.5</v>
      </c>
      <c r="E80" s="99">
        <f t="shared" si="6"/>
        <v>9.98371767704018</v>
      </c>
      <c r="F80" s="99">
        <f t="shared" si="6"/>
        <v>11.586728230181405</v>
      </c>
      <c r="G80" s="99">
        <f t="shared" si="6"/>
        <v>13.30903165942365</v>
      </c>
      <c r="H80" s="99">
        <f t="shared" si="6"/>
        <v>15.150627964766933</v>
      </c>
      <c r="I80" s="99">
        <f t="shared" si="6"/>
        <v>17.11151714621125</v>
      </c>
      <c r="J80" s="99">
        <f t="shared" si="6"/>
        <v>19.191699203756603</v>
      </c>
      <c r="K80" s="99">
        <f t="shared" si="6"/>
        <v>21.391174137402988</v>
      </c>
      <c r="L80" s="99">
        <f t="shared" si="6"/>
        <v>23.709941947150398</v>
      </c>
      <c r="M80" s="99">
        <f t="shared" si="6"/>
        <v>26.14800263299885</v>
      </c>
      <c r="N80" s="100">
        <f t="shared" si="6"/>
        <v>28.705356194948337</v>
      </c>
    </row>
    <row r="81" spans="2:14" ht="12.75">
      <c r="B81" s="10">
        <v>20</v>
      </c>
      <c r="C81" s="115">
        <v>80</v>
      </c>
      <c r="D81" s="110">
        <f t="shared" si="6"/>
        <v>8.5</v>
      </c>
      <c r="E81" s="99">
        <f t="shared" si="6"/>
        <v>9.85772959103812</v>
      </c>
      <c r="F81" s="99">
        <f t="shared" si="6"/>
        <v>11.316013961966972</v>
      </c>
      <c r="G81" s="99">
        <f t="shared" si="6"/>
        <v>12.87485311278654</v>
      </c>
      <c r="H81" s="99">
        <f t="shared" si="6"/>
        <v>14.534247043496837</v>
      </c>
      <c r="I81" s="99">
        <f t="shared" si="6"/>
        <v>16.294195754097853</v>
      </c>
      <c r="J81" s="99">
        <f t="shared" si="6"/>
        <v>18.154699244589594</v>
      </c>
      <c r="K81" s="99">
        <f t="shared" si="6"/>
        <v>20.115757514972067</v>
      </c>
      <c r="L81" s="99">
        <f t="shared" si="6"/>
        <v>22.177370565245255</v>
      </c>
      <c r="M81" s="99">
        <f t="shared" si="6"/>
        <v>24.339538395409168</v>
      </c>
      <c r="N81" s="100">
        <f t="shared" si="6"/>
        <v>26.602261005463802</v>
      </c>
    </row>
    <row r="82" spans="2:14" ht="12.75">
      <c r="B82" s="10">
        <v>25</v>
      </c>
      <c r="C82" s="115">
        <v>75</v>
      </c>
      <c r="D82" s="110">
        <f t="shared" si="6"/>
        <v>8.5</v>
      </c>
      <c r="E82" s="99">
        <f t="shared" si="6"/>
        <v>9.732541505036062</v>
      </c>
      <c r="F82" s="99">
        <f t="shared" si="6"/>
        <v>11.04849969375254</v>
      </c>
      <c r="G82" s="99">
        <f t="shared" si="6"/>
        <v>12.447874566149434</v>
      </c>
      <c r="H82" s="99">
        <f t="shared" si="6"/>
        <v>13.930666122226738</v>
      </c>
      <c r="I82" s="99">
        <f t="shared" si="6"/>
        <v>15.49687436198446</v>
      </c>
      <c r="J82" s="99">
        <f t="shared" si="6"/>
        <v>17.14649928542259</v>
      </c>
      <c r="K82" s="99">
        <f t="shared" si="6"/>
        <v>18.879540892541147</v>
      </c>
      <c r="L82" s="99">
        <f t="shared" si="6"/>
        <v>20.6959991833401</v>
      </c>
      <c r="M82" s="99">
        <f t="shared" si="6"/>
        <v>22.595874157819487</v>
      </c>
      <c r="N82" s="100">
        <f t="shared" si="6"/>
        <v>24.579165815979273</v>
      </c>
    </row>
    <row r="83" spans="2:14" ht="12.75">
      <c r="B83" s="10">
        <v>30</v>
      </c>
      <c r="C83" s="115">
        <v>70</v>
      </c>
      <c r="D83" s="110">
        <f t="shared" si="6"/>
        <v>8.5</v>
      </c>
      <c r="E83" s="99">
        <f t="shared" si="6"/>
        <v>9.608153419034002</v>
      </c>
      <c r="F83" s="99">
        <f t="shared" si="6"/>
        <v>10.784185425538109</v>
      </c>
      <c r="G83" s="99">
        <f t="shared" si="6"/>
        <v>12.028096019512319</v>
      </c>
      <c r="H83" s="99">
        <f t="shared" si="6"/>
        <v>13.33988520095664</v>
      </c>
      <c r="I83" s="99">
        <f t="shared" si="6"/>
        <v>14.719552969871065</v>
      </c>
      <c r="J83" s="99">
        <f t="shared" si="6"/>
        <v>16.16709932625558</v>
      </c>
      <c r="K83" s="99">
        <f t="shared" si="6"/>
        <v>17.68252427011023</v>
      </c>
      <c r="L83" s="99">
        <f t="shared" si="6"/>
        <v>19.265827801434963</v>
      </c>
      <c r="M83" s="99">
        <f t="shared" si="6"/>
        <v>20.917009920229795</v>
      </c>
      <c r="N83" s="100">
        <f t="shared" si="6"/>
        <v>22.63607062649475</v>
      </c>
    </row>
    <row r="84" spans="2:14" ht="12.75">
      <c r="B84" s="10">
        <v>35</v>
      </c>
      <c r="C84" s="115">
        <v>65</v>
      </c>
      <c r="D84" s="110">
        <f t="shared" si="6"/>
        <v>8.5</v>
      </c>
      <c r="E84" s="99">
        <f t="shared" si="6"/>
        <v>9.48456533303194</v>
      </c>
      <c r="F84" s="99">
        <f t="shared" si="6"/>
        <v>10.523071157323681</v>
      </c>
      <c r="G84" s="99">
        <f t="shared" si="6"/>
        <v>11.615517472875212</v>
      </c>
      <c r="H84" s="99">
        <f t="shared" si="6"/>
        <v>12.761904279686538</v>
      </c>
      <c r="I84" s="99">
        <f t="shared" si="6"/>
        <v>13.962231577757667</v>
      </c>
      <c r="J84" s="99">
        <f t="shared" si="6"/>
        <v>15.21649936708858</v>
      </c>
      <c r="K84" s="99">
        <f t="shared" si="6"/>
        <v>16.524707647679293</v>
      </c>
      <c r="L84" s="99">
        <f t="shared" si="6"/>
        <v>17.886856419529806</v>
      </c>
      <c r="M84" s="99">
        <f t="shared" si="6"/>
        <v>19.302945682640114</v>
      </c>
      <c r="N84" s="100">
        <f t="shared" si="6"/>
        <v>20.772975437010217</v>
      </c>
    </row>
    <row r="85" spans="2:14" ht="12.75">
      <c r="B85" s="10">
        <v>40</v>
      </c>
      <c r="C85" s="115">
        <v>60</v>
      </c>
      <c r="D85" s="110">
        <f t="shared" si="6"/>
        <v>8.5</v>
      </c>
      <c r="E85" s="99">
        <f t="shared" si="6"/>
        <v>9.36177724702988</v>
      </c>
      <c r="F85" s="99">
        <f t="shared" si="6"/>
        <v>10.26515688910925</v>
      </c>
      <c r="G85" s="99">
        <f t="shared" si="6"/>
        <v>11.2101389262381</v>
      </c>
      <c r="H85" s="99">
        <f t="shared" si="6"/>
        <v>12.196723358416442</v>
      </c>
      <c r="I85" s="99">
        <f t="shared" si="6"/>
        <v>13.224910185644264</v>
      </c>
      <c r="J85" s="99">
        <f t="shared" si="6"/>
        <v>14.294699407921577</v>
      </c>
      <c r="K85" s="99">
        <f t="shared" si="6"/>
        <v>15.406091025248378</v>
      </c>
      <c r="L85" s="99">
        <f t="shared" si="6"/>
        <v>16.559085037624662</v>
      </c>
      <c r="M85" s="99">
        <f t="shared" si="6"/>
        <v>17.753681445050432</v>
      </c>
      <c r="N85" s="100">
        <f t="shared" si="6"/>
        <v>18.989880247525686</v>
      </c>
    </row>
    <row r="86" spans="2:14" ht="12.75">
      <c r="B86" s="10">
        <v>45</v>
      </c>
      <c r="C86" s="115">
        <v>55</v>
      </c>
      <c r="D86" s="110">
        <f t="shared" si="6"/>
        <v>8.5</v>
      </c>
      <c r="E86" s="99">
        <f t="shared" si="6"/>
        <v>9.239789161027819</v>
      </c>
      <c r="F86" s="99">
        <f t="shared" si="6"/>
        <v>10.01044262089482</v>
      </c>
      <c r="G86" s="99">
        <f t="shared" si="6"/>
        <v>10.81196037960099</v>
      </c>
      <c r="H86" s="99">
        <f t="shared" si="6"/>
        <v>11.644342437146339</v>
      </c>
      <c r="I86" s="99">
        <f t="shared" si="6"/>
        <v>12.507588793530866</v>
      </c>
      <c r="J86" s="99">
        <f t="shared" si="6"/>
        <v>13.401699448754572</v>
      </c>
      <c r="K86" s="99">
        <f t="shared" si="6"/>
        <v>14.326674402817453</v>
      </c>
      <c r="L86" s="99">
        <f t="shared" si="6"/>
        <v>15.282513655719509</v>
      </c>
      <c r="M86" s="99">
        <f t="shared" si="6"/>
        <v>16.26921720746074</v>
      </c>
      <c r="N86" s="100">
        <f t="shared" si="6"/>
        <v>17.286785058041154</v>
      </c>
    </row>
    <row r="87" spans="2:14" ht="12.75">
      <c r="B87" s="10">
        <v>50</v>
      </c>
      <c r="C87" s="115">
        <v>50</v>
      </c>
      <c r="D87" s="110">
        <f aca="true" t="shared" si="7" ref="D87:N97">((1-$D$16/100)*(1-D$76/100)*($D$9)^0.5+($D$16/100)*(1-D$76/100)*($D$10)^0.5+(D$76/100)*$C87/100*($D$11)^0.5+(D$76/100)*$B87/100*($D$12)^0.5)^2</f>
        <v>8.5</v>
      </c>
      <c r="E87" s="99">
        <f t="shared" si="7"/>
        <v>9.118601075025758</v>
      </c>
      <c r="F87" s="99">
        <f t="shared" si="7"/>
        <v>9.758928352680387</v>
      </c>
      <c r="G87" s="99">
        <f t="shared" si="7"/>
        <v>10.42098183296388</v>
      </c>
      <c r="H87" s="99">
        <f t="shared" si="7"/>
        <v>11.104761515876241</v>
      </c>
      <c r="I87" s="99">
        <f t="shared" si="7"/>
        <v>11.810267401417471</v>
      </c>
      <c r="J87" s="99">
        <f t="shared" si="7"/>
        <v>12.537499489587562</v>
      </c>
      <c r="K87" s="99">
        <f t="shared" si="7"/>
        <v>13.286457780386527</v>
      </c>
      <c r="L87" s="99">
        <f t="shared" si="7"/>
        <v>14.057142273814362</v>
      </c>
      <c r="M87" s="99">
        <f t="shared" si="7"/>
        <v>14.849552969871063</v>
      </c>
      <c r="N87" s="100">
        <f t="shared" si="7"/>
        <v>15.663689868556625</v>
      </c>
    </row>
    <row r="88" spans="2:14" ht="12.75">
      <c r="B88" s="10">
        <v>55</v>
      </c>
      <c r="C88" s="115">
        <v>45</v>
      </c>
      <c r="D88" s="110">
        <f t="shared" si="7"/>
        <v>8.5</v>
      </c>
      <c r="E88" s="99">
        <f t="shared" si="7"/>
        <v>8.998212989023697</v>
      </c>
      <c r="F88" s="99">
        <f t="shared" si="7"/>
        <v>9.510614084465956</v>
      </c>
      <c r="G88" s="99">
        <f t="shared" si="7"/>
        <v>10.037203286326768</v>
      </c>
      <c r="H88" s="99">
        <f t="shared" si="7"/>
        <v>10.577980594606142</v>
      </c>
      <c r="I88" s="99">
        <f t="shared" si="7"/>
        <v>11.132946009304076</v>
      </c>
      <c r="J88" s="99">
        <f t="shared" si="7"/>
        <v>11.70209953042056</v>
      </c>
      <c r="K88" s="99">
        <f t="shared" si="7"/>
        <v>12.285441157955606</v>
      </c>
      <c r="L88" s="99">
        <f t="shared" si="7"/>
        <v>12.882970891909213</v>
      </c>
      <c r="M88" s="99">
        <f t="shared" si="7"/>
        <v>13.494688732281379</v>
      </c>
      <c r="N88" s="100">
        <f t="shared" si="7"/>
        <v>14.120594679072095</v>
      </c>
    </row>
    <row r="89" spans="2:14" ht="12.75">
      <c r="B89" s="10">
        <v>60</v>
      </c>
      <c r="C89" s="115">
        <v>40</v>
      </c>
      <c r="D89" s="110">
        <f t="shared" si="7"/>
        <v>8.5</v>
      </c>
      <c r="E89" s="99">
        <f t="shared" si="7"/>
        <v>8.878624903021636</v>
      </c>
      <c r="F89" s="99">
        <f t="shared" si="7"/>
        <v>9.265499816251525</v>
      </c>
      <c r="G89" s="99">
        <f t="shared" si="7"/>
        <v>9.660624739689657</v>
      </c>
      <c r="H89" s="99">
        <f t="shared" si="7"/>
        <v>10.063999673336046</v>
      </c>
      <c r="I89" s="99">
        <f t="shared" si="7"/>
        <v>10.475624617190675</v>
      </c>
      <c r="J89" s="99">
        <f t="shared" si="7"/>
        <v>10.895499571253557</v>
      </c>
      <c r="K89" s="99">
        <f t="shared" si="7"/>
        <v>11.323624535524687</v>
      </c>
      <c r="L89" s="99">
        <f t="shared" si="7"/>
        <v>11.759999510004063</v>
      </c>
      <c r="M89" s="99">
        <f t="shared" si="7"/>
        <v>12.204624494691691</v>
      </c>
      <c r="N89" s="100">
        <f t="shared" si="7"/>
        <v>12.657499489587567</v>
      </c>
    </row>
    <row r="90" spans="2:14" ht="12.75">
      <c r="B90" s="10">
        <v>65</v>
      </c>
      <c r="C90" s="115">
        <v>35</v>
      </c>
      <c r="D90" s="110">
        <f t="shared" si="7"/>
        <v>8.5</v>
      </c>
      <c r="E90" s="99">
        <f t="shared" si="7"/>
        <v>8.759836817019577</v>
      </c>
      <c r="F90" s="99">
        <f t="shared" si="7"/>
        <v>9.023585548037094</v>
      </c>
      <c r="G90" s="99">
        <f t="shared" si="7"/>
        <v>9.291246193052551</v>
      </c>
      <c r="H90" s="99">
        <f t="shared" si="7"/>
        <v>9.562818752065946</v>
      </c>
      <c r="I90" s="99">
        <f t="shared" si="7"/>
        <v>9.83830322507728</v>
      </c>
      <c r="J90" s="99">
        <f t="shared" si="7"/>
        <v>10.117699612086549</v>
      </c>
      <c r="K90" s="99">
        <f t="shared" si="7"/>
        <v>10.401007913093764</v>
      </c>
      <c r="L90" s="99">
        <f t="shared" si="7"/>
        <v>10.688228128098913</v>
      </c>
      <c r="M90" s="99">
        <f t="shared" si="7"/>
        <v>10.979360257102007</v>
      </c>
      <c r="N90" s="100">
        <f t="shared" si="7"/>
        <v>11.274404300103035</v>
      </c>
    </row>
    <row r="91" spans="2:14" ht="12.75">
      <c r="B91" s="10">
        <v>70</v>
      </c>
      <c r="C91" s="115">
        <v>30</v>
      </c>
      <c r="D91" s="110">
        <f t="shared" si="7"/>
        <v>8.5</v>
      </c>
      <c r="E91" s="99">
        <f t="shared" si="7"/>
        <v>8.641848731017514</v>
      </c>
      <c r="F91" s="99">
        <f t="shared" si="7"/>
        <v>8.784871279822664</v>
      </c>
      <c r="G91" s="99">
        <f t="shared" si="7"/>
        <v>8.929067646415437</v>
      </c>
      <c r="H91" s="99">
        <f t="shared" si="7"/>
        <v>9.074437830795846</v>
      </c>
      <c r="I91" s="99">
        <f t="shared" si="7"/>
        <v>9.22098183296388</v>
      </c>
      <c r="J91" s="99">
        <f t="shared" si="7"/>
        <v>9.368699652919545</v>
      </c>
      <c r="K91" s="99">
        <f t="shared" si="7"/>
        <v>9.51759129066284</v>
      </c>
      <c r="L91" s="99">
        <f t="shared" si="7"/>
        <v>9.667656746193769</v>
      </c>
      <c r="M91" s="99">
        <f t="shared" si="7"/>
        <v>9.818896019512321</v>
      </c>
      <c r="N91" s="100">
        <f t="shared" si="7"/>
        <v>9.971309110618506</v>
      </c>
    </row>
    <row r="92" spans="2:14" ht="12.75">
      <c r="B92" s="10">
        <v>75</v>
      </c>
      <c r="C92" s="115">
        <v>25</v>
      </c>
      <c r="D92" s="110">
        <f t="shared" si="7"/>
        <v>8.5</v>
      </c>
      <c r="E92" s="99">
        <f t="shared" si="7"/>
        <v>8.524660645015453</v>
      </c>
      <c r="F92" s="99">
        <f t="shared" si="7"/>
        <v>8.549357011608235</v>
      </c>
      <c r="G92" s="99">
        <f t="shared" si="7"/>
        <v>8.574089099778327</v>
      </c>
      <c r="H92" s="99">
        <f t="shared" si="7"/>
        <v>8.598856909525747</v>
      </c>
      <c r="I92" s="99">
        <f t="shared" si="7"/>
        <v>8.623660440850484</v>
      </c>
      <c r="J92" s="99">
        <f t="shared" si="7"/>
        <v>8.64849969375254</v>
      </c>
      <c r="K92" s="99">
        <f t="shared" si="7"/>
        <v>8.67337466823192</v>
      </c>
      <c r="L92" s="99">
        <f t="shared" si="7"/>
        <v>8.698285364288616</v>
      </c>
      <c r="M92" s="99">
        <f t="shared" si="7"/>
        <v>8.723231781922635</v>
      </c>
      <c r="N92" s="100">
        <f t="shared" si="7"/>
        <v>8.748213921133976</v>
      </c>
    </row>
    <row r="93" spans="2:14" ht="12.75">
      <c r="B93" s="10">
        <v>80</v>
      </c>
      <c r="C93" s="115">
        <v>20</v>
      </c>
      <c r="D93" s="110">
        <f t="shared" si="7"/>
        <v>8.5</v>
      </c>
      <c r="E93" s="99">
        <f t="shared" si="7"/>
        <v>8.408272559013392</v>
      </c>
      <c r="F93" s="99">
        <f t="shared" si="7"/>
        <v>8.317042743393804</v>
      </c>
      <c r="G93" s="99">
        <f t="shared" si="7"/>
        <v>8.226310553141218</v>
      </c>
      <c r="H93" s="99">
        <f t="shared" si="7"/>
        <v>8.136075988255646</v>
      </c>
      <c r="I93" s="99">
        <f t="shared" si="7"/>
        <v>8.046339048737089</v>
      </c>
      <c r="J93" s="99">
        <f t="shared" si="7"/>
        <v>7.957099734585536</v>
      </c>
      <c r="K93" s="99">
        <f t="shared" si="7"/>
        <v>7.868358045800999</v>
      </c>
      <c r="L93" s="99">
        <f t="shared" si="7"/>
        <v>7.780113982383467</v>
      </c>
      <c r="M93" s="99">
        <f t="shared" si="7"/>
        <v>7.69236754433295</v>
      </c>
      <c r="N93" s="100">
        <f t="shared" si="7"/>
        <v>7.605118731649445</v>
      </c>
    </row>
    <row r="94" spans="2:14" ht="12.75">
      <c r="B94" s="10">
        <v>85</v>
      </c>
      <c r="C94" s="115">
        <v>15</v>
      </c>
      <c r="D94" s="110">
        <f t="shared" si="7"/>
        <v>8.5</v>
      </c>
      <c r="E94" s="99">
        <f t="shared" si="7"/>
        <v>8.292684473011333</v>
      </c>
      <c r="F94" s="99">
        <f t="shared" si="7"/>
        <v>8.08792847517937</v>
      </c>
      <c r="G94" s="99">
        <f t="shared" si="7"/>
        <v>7.885732006504107</v>
      </c>
      <c r="H94" s="99">
        <f t="shared" si="7"/>
        <v>7.686095066985547</v>
      </c>
      <c r="I94" s="99">
        <f t="shared" si="7"/>
        <v>7.4890176566236875</v>
      </c>
      <c r="J94" s="99">
        <f t="shared" si="7"/>
        <v>7.294499775418527</v>
      </c>
      <c r="K94" s="99">
        <f t="shared" si="7"/>
        <v>7.102541423370074</v>
      </c>
      <c r="L94" s="99">
        <f t="shared" si="7"/>
        <v>6.913142600478319</v>
      </c>
      <c r="M94" s="99">
        <f t="shared" si="7"/>
        <v>6.726303306743267</v>
      </c>
      <c r="N94" s="100">
        <f t="shared" si="7"/>
        <v>6.542023542164914</v>
      </c>
    </row>
    <row r="95" spans="2:14" ht="12.75">
      <c r="B95" s="10">
        <v>90</v>
      </c>
      <c r="C95" s="115">
        <v>10</v>
      </c>
      <c r="D95" s="110">
        <f t="shared" si="7"/>
        <v>8.5</v>
      </c>
      <c r="E95" s="99">
        <f t="shared" si="7"/>
        <v>8.177896387009271</v>
      </c>
      <c r="F95" s="99">
        <f t="shared" si="7"/>
        <v>7.86201420696494</v>
      </c>
      <c r="G95" s="99">
        <f t="shared" si="7"/>
        <v>7.552353459866994</v>
      </c>
      <c r="H95" s="99">
        <f t="shared" si="7"/>
        <v>7.24891414571545</v>
      </c>
      <c r="I95" s="99">
        <f t="shared" si="7"/>
        <v>6.951696264510292</v>
      </c>
      <c r="J95" s="99">
        <f t="shared" si="7"/>
        <v>6.660699816251523</v>
      </c>
      <c r="K95" s="99">
        <f t="shared" si="7"/>
        <v>6.375924800939151</v>
      </c>
      <c r="L95" s="99">
        <f t="shared" si="7"/>
        <v>6.09737121857317</v>
      </c>
      <c r="M95" s="99">
        <f t="shared" si="7"/>
        <v>5.825039069153584</v>
      </c>
      <c r="N95" s="100">
        <f t="shared" si="7"/>
        <v>5.558928352680385</v>
      </c>
    </row>
    <row r="96" spans="2:14" ht="12.75">
      <c r="B96" s="10">
        <v>95</v>
      </c>
      <c r="C96" s="115">
        <v>5</v>
      </c>
      <c r="D96" s="110">
        <f t="shared" si="7"/>
        <v>8.5</v>
      </c>
      <c r="E96" s="99">
        <f t="shared" si="7"/>
        <v>8.06390830100721</v>
      </c>
      <c r="F96" s="99">
        <f t="shared" si="7"/>
        <v>7.6392999387505105</v>
      </c>
      <c r="G96" s="99">
        <f t="shared" si="7"/>
        <v>7.226174913229887</v>
      </c>
      <c r="H96" s="99">
        <f t="shared" si="7"/>
        <v>6.824533224445347</v>
      </c>
      <c r="I96" s="99">
        <f t="shared" si="7"/>
        <v>6.434374872396892</v>
      </c>
      <c r="J96" s="99">
        <f t="shared" si="7"/>
        <v>6.055699857084518</v>
      </c>
      <c r="K96" s="99">
        <f t="shared" si="7"/>
        <v>5.68850817850823</v>
      </c>
      <c r="L96" s="99">
        <f t="shared" si="7"/>
        <v>5.332799836668021</v>
      </c>
      <c r="M96" s="99">
        <f t="shared" si="7"/>
        <v>4.988574831563896</v>
      </c>
      <c r="N96" s="100">
        <f t="shared" si="7"/>
        <v>4.655833163195856</v>
      </c>
    </row>
    <row r="97" spans="2:14" ht="13.5" thickBot="1">
      <c r="B97" s="13">
        <v>100</v>
      </c>
      <c r="C97" s="116">
        <v>0</v>
      </c>
      <c r="D97" s="111">
        <f t="shared" si="7"/>
        <v>8.5</v>
      </c>
      <c r="E97" s="101">
        <f t="shared" si="7"/>
        <v>7.95072021500515</v>
      </c>
      <c r="F97" s="101">
        <f t="shared" si="7"/>
        <v>7.41978567053608</v>
      </c>
      <c r="G97" s="101">
        <f t="shared" si="7"/>
        <v>6.907196366592776</v>
      </c>
      <c r="H97" s="101">
        <f t="shared" si="7"/>
        <v>6.41295230317525</v>
      </c>
      <c r="I97" s="101">
        <f t="shared" si="7"/>
        <v>5.937053480283495</v>
      </c>
      <c r="J97" s="101">
        <f t="shared" si="7"/>
        <v>5.4794998979175125</v>
      </c>
      <c r="K97" s="101">
        <f t="shared" si="7"/>
        <v>5.040291556077307</v>
      </c>
      <c r="L97" s="101">
        <f t="shared" si="7"/>
        <v>4.619428454762873</v>
      </c>
      <c r="M97" s="101">
        <f t="shared" si="7"/>
        <v>4.216910593974212</v>
      </c>
      <c r="N97" s="102">
        <f t="shared" si="7"/>
        <v>3.832737973711325</v>
      </c>
    </row>
    <row r="98" ht="13.5" thickTop="1"/>
  </sheetData>
  <printOptions/>
  <pageMargins left="1.5" right="1.25" top="1.25" bottom="1.25" header="0" footer="0"/>
  <pageSetup fitToHeight="1" fitToWidth="1" horizontalDpi="300" verticalDpi="300" orientation="portrait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3"/>
  <sheetViews>
    <sheetView workbookViewId="0" topLeftCell="A1">
      <selection activeCell="B2" sqref="B2"/>
    </sheetView>
  </sheetViews>
  <sheetFormatPr defaultColWidth="9.140625" defaultRowHeight="12.75"/>
  <cols>
    <col min="1" max="1" width="2.421875" style="127" customWidth="1"/>
    <col min="2" max="2" width="9.140625" style="127" customWidth="1"/>
    <col min="3" max="4" width="8.7109375" style="127" customWidth="1"/>
    <col min="5" max="5" width="10.57421875" style="127" bestFit="1" customWidth="1"/>
    <col min="6" max="8" width="9.140625" style="127" customWidth="1"/>
    <col min="9" max="9" width="10.57421875" style="127" bestFit="1" customWidth="1"/>
    <col min="10" max="10" width="4.7109375" style="127" customWidth="1"/>
    <col min="11" max="13" width="9.140625" style="127" customWidth="1"/>
    <col min="14" max="14" width="10.57421875" style="127" bestFit="1" customWidth="1"/>
    <col min="15" max="16" width="9.140625" style="127" customWidth="1"/>
    <col min="17" max="17" width="7.7109375" style="127" bestFit="1" customWidth="1"/>
    <col min="18" max="18" width="10.57421875" style="127" bestFit="1" customWidth="1"/>
    <col min="19" max="16384" width="9.140625" style="127" customWidth="1"/>
  </cols>
  <sheetData>
    <row r="2" spans="2:20" ht="15.75">
      <c r="B2" s="77" t="s">
        <v>107</v>
      </c>
      <c r="K2" s="77" t="s">
        <v>108</v>
      </c>
      <c r="T2" s="77" t="s">
        <v>98</v>
      </c>
    </row>
    <row r="3" spans="2:20" ht="12.75">
      <c r="B3" s="127" t="s">
        <v>89</v>
      </c>
      <c r="K3" s="127" t="s">
        <v>88</v>
      </c>
      <c r="T3" s="127" t="s">
        <v>103</v>
      </c>
    </row>
    <row r="4" spans="2:11" ht="12.75">
      <c r="B4" s="127" t="s">
        <v>127</v>
      </c>
      <c r="K4" s="127" t="s">
        <v>126</v>
      </c>
    </row>
    <row r="5" ht="16.5" thickBot="1">
      <c r="B5" s="77"/>
    </row>
    <row r="6" spans="2:18" ht="14.25" thickBot="1" thickTop="1">
      <c r="B6" s="186"/>
      <c r="C6" s="211" t="s">
        <v>87</v>
      </c>
      <c r="D6" s="211"/>
      <c r="E6" s="188" t="s">
        <v>86</v>
      </c>
      <c r="F6" s="199"/>
      <c r="G6" s="211" t="s">
        <v>128</v>
      </c>
      <c r="H6" s="211"/>
      <c r="I6" s="188" t="s">
        <v>86</v>
      </c>
      <c r="K6" s="210"/>
      <c r="L6" s="211" t="s">
        <v>87</v>
      </c>
      <c r="M6" s="211"/>
      <c r="N6" s="187" t="s">
        <v>86</v>
      </c>
      <c r="O6" s="187"/>
      <c r="P6" s="211" t="s">
        <v>128</v>
      </c>
      <c r="Q6" s="211"/>
      <c r="R6" s="188" t="s">
        <v>86</v>
      </c>
    </row>
    <row r="7" spans="2:22" ht="13.5" thickTop="1">
      <c r="B7" s="138" t="s">
        <v>49</v>
      </c>
      <c r="C7" s="212" t="s">
        <v>63</v>
      </c>
      <c r="D7" s="212"/>
      <c r="E7" s="141" t="s">
        <v>16</v>
      </c>
      <c r="F7" s="68" t="s">
        <v>49</v>
      </c>
      <c r="G7" s="212" t="s">
        <v>63</v>
      </c>
      <c r="H7" s="212"/>
      <c r="I7" s="141" t="s">
        <v>16</v>
      </c>
      <c r="K7" s="138" t="s">
        <v>7</v>
      </c>
      <c r="L7" s="212" t="s">
        <v>63</v>
      </c>
      <c r="M7" s="212"/>
      <c r="N7" s="140" t="s">
        <v>16</v>
      </c>
      <c r="O7" s="140" t="s">
        <v>7</v>
      </c>
      <c r="P7" s="212" t="s">
        <v>63</v>
      </c>
      <c r="Q7" s="212"/>
      <c r="R7" s="141" t="s">
        <v>16</v>
      </c>
      <c r="T7" s="203" t="s">
        <v>16</v>
      </c>
      <c r="U7" s="204" t="s">
        <v>99</v>
      </c>
      <c r="V7" s="127" t="s">
        <v>101</v>
      </c>
    </row>
    <row r="8" spans="2:22" ht="13.5" thickBot="1">
      <c r="B8" s="154" t="s">
        <v>50</v>
      </c>
      <c r="C8" s="155" t="s">
        <v>84</v>
      </c>
      <c r="D8" s="155" t="s">
        <v>85</v>
      </c>
      <c r="E8" s="157" t="s">
        <v>17</v>
      </c>
      <c r="F8" s="200" t="s">
        <v>50</v>
      </c>
      <c r="G8" s="155" t="s">
        <v>84</v>
      </c>
      <c r="H8" s="155" t="s">
        <v>85</v>
      </c>
      <c r="I8" s="157" t="s">
        <v>17</v>
      </c>
      <c r="K8" s="154" t="s">
        <v>50</v>
      </c>
      <c r="L8" s="155" t="s">
        <v>84</v>
      </c>
      <c r="M8" s="155" t="s">
        <v>85</v>
      </c>
      <c r="N8" s="155" t="s">
        <v>17</v>
      </c>
      <c r="O8" s="155" t="s">
        <v>50</v>
      </c>
      <c r="P8" s="155" t="s">
        <v>84</v>
      </c>
      <c r="Q8" s="155" t="s">
        <v>85</v>
      </c>
      <c r="R8" s="157" t="s">
        <v>17</v>
      </c>
      <c r="T8" s="208" t="s">
        <v>17</v>
      </c>
      <c r="U8" s="209" t="s">
        <v>100</v>
      </c>
      <c r="V8" s="127" t="s">
        <v>102</v>
      </c>
    </row>
    <row r="9" spans="2:21" ht="12.75">
      <c r="B9" s="160">
        <v>0</v>
      </c>
      <c r="C9" s="189">
        <v>4.5</v>
      </c>
      <c r="D9" s="189">
        <v>4.5</v>
      </c>
      <c r="E9" s="193">
        <f>ABS((C9)^0.5-(D9)^0.5)/((C9)^0.5+(D9)^0.5)</f>
        <v>0</v>
      </c>
      <c r="F9" s="201">
        <v>0</v>
      </c>
      <c r="G9" s="189">
        <v>4.5</v>
      </c>
      <c r="H9" s="215">
        <v>4.5</v>
      </c>
      <c r="I9" s="193">
        <f>ABS((G9)^0.5-(H9)^0.5)/((G9)^0.5+(H9)^0.5)</f>
        <v>0</v>
      </c>
      <c r="K9" s="160">
        <v>100</v>
      </c>
      <c r="L9" s="189">
        <v>3.5988225099390854</v>
      </c>
      <c r="M9" s="189">
        <v>3.5988225099390854</v>
      </c>
      <c r="N9" s="191">
        <f aca="true" t="shared" si="0" ref="N9:N19">ABS((L9)^0.5-(M9)^0.5)/((L9)^0.5+(M9)^0.5)</f>
        <v>0</v>
      </c>
      <c r="O9" s="192">
        <v>100</v>
      </c>
      <c r="P9" s="189">
        <v>12.229402589451771</v>
      </c>
      <c r="Q9" s="189">
        <v>12.229402589451771</v>
      </c>
      <c r="R9" s="193">
        <f>ABS((P9)^0.5-(Q9)^0.5)/((P9)^0.5+(Q9)^0.5)</f>
        <v>0</v>
      </c>
      <c r="T9" s="205">
        <v>0.1</v>
      </c>
      <c r="U9" s="206">
        <f>(0.1/T9)^2</f>
        <v>1</v>
      </c>
    </row>
    <row r="10" spans="2:21" ht="12.75">
      <c r="B10" s="160">
        <v>5</v>
      </c>
      <c r="C10" s="190">
        <f>C$9</f>
        <v>4.5</v>
      </c>
      <c r="D10" s="189">
        <v>4.2652754326381634</v>
      </c>
      <c r="E10" s="193">
        <f aca="true" t="shared" si="1" ref="E10:E19">ABS((C10)^0.5-(D10)^0.5)/((C10)^0.5+(D10)^0.5)</f>
        <v>0.013391858881802438</v>
      </c>
      <c r="F10" s="201">
        <v>5</v>
      </c>
      <c r="G10" s="190">
        <f>G$9</f>
        <v>4.5</v>
      </c>
      <c r="H10" s="215">
        <v>6.077478893743494</v>
      </c>
      <c r="I10" s="193">
        <f aca="true" t="shared" si="2" ref="I10:I19">ABS((G10)^0.5-(H10)^0.5)/((G10)^0.5+(H10)^0.5)</f>
        <v>0.07498711076831097</v>
      </c>
      <c r="K10" s="160">
        <v>90</v>
      </c>
      <c r="L10" s="190">
        <f>L$9</f>
        <v>3.5988225099390854</v>
      </c>
      <c r="M10" s="189">
        <v>3.843908141369433</v>
      </c>
      <c r="N10" s="191">
        <f t="shared" si="0"/>
        <v>0.016469231446103866</v>
      </c>
      <c r="O10" s="192">
        <v>90</v>
      </c>
      <c r="P10" s="190">
        <f>P$9</f>
        <v>12.229402589451771</v>
      </c>
      <c r="Q10" s="189">
        <v>12.67779205547105</v>
      </c>
      <c r="R10" s="193">
        <f aca="true" t="shared" si="3" ref="R10:R19">ABS((P10)^0.5-(Q10)^0.5)/((P10)^0.5+(Q10)^0.5)</f>
        <v>0.00900193312741071</v>
      </c>
      <c r="T10" s="205">
        <v>0.08</v>
      </c>
      <c r="U10" s="206">
        <f aca="true" t="shared" si="4" ref="U10:U16">(0.1/T10)^2</f>
        <v>1.5625</v>
      </c>
    </row>
    <row r="11" spans="2:21" ht="12.75">
      <c r="B11" s="160">
        <v>10</v>
      </c>
      <c r="C11" s="190">
        <f aca="true" t="shared" si="5" ref="C11:C19">C$9</f>
        <v>4.5</v>
      </c>
      <c r="D11" s="189">
        <v>4.036837661840735</v>
      </c>
      <c r="E11" s="193">
        <f t="shared" si="1"/>
        <v>0.027147270174811906</v>
      </c>
      <c r="F11" s="201">
        <v>10</v>
      </c>
      <c r="G11" s="190">
        <f aca="true" t="shared" si="6" ref="G11:G18">G$9</f>
        <v>4.5</v>
      </c>
      <c r="H11" s="215">
        <v>7.891538956566619</v>
      </c>
      <c r="I11" s="193">
        <f t="shared" si="2"/>
        <v>0.13951257650841312</v>
      </c>
      <c r="K11" s="160">
        <v>80</v>
      </c>
      <c r="L11" s="190">
        <f aca="true" t="shared" si="7" ref="L11:L18">L$9</f>
        <v>3.5988225099390854</v>
      </c>
      <c r="M11" s="189">
        <v>4.097066516776062</v>
      </c>
      <c r="N11" s="191">
        <f t="shared" si="0"/>
        <v>0.03240478105308417</v>
      </c>
      <c r="O11" s="192">
        <v>80</v>
      </c>
      <c r="P11" s="190">
        <f aca="true" t="shared" si="8" ref="P11:P18">P$9</f>
        <v>12.229402589451771</v>
      </c>
      <c r="Q11" s="189">
        <v>13.134254265466607</v>
      </c>
      <c r="R11" s="193">
        <f t="shared" si="3"/>
        <v>0.01784324257835478</v>
      </c>
      <c r="T11" s="205">
        <v>0.06</v>
      </c>
      <c r="U11" s="206">
        <f t="shared" si="4"/>
        <v>2.777777777777778</v>
      </c>
    </row>
    <row r="12" spans="2:21" ht="12.75">
      <c r="B12" s="160">
        <v>15</v>
      </c>
      <c r="C12" s="190">
        <f t="shared" si="5"/>
        <v>4.5</v>
      </c>
      <c r="D12" s="189">
        <v>3.8146866876077077</v>
      </c>
      <c r="E12" s="193">
        <f t="shared" si="1"/>
        <v>0.04128124177401335</v>
      </c>
      <c r="F12" s="201">
        <v>15</v>
      </c>
      <c r="G12" s="190">
        <f t="shared" si="6"/>
        <v>4.5</v>
      </c>
      <c r="H12" s="215">
        <v>9.942180188469377</v>
      </c>
      <c r="I12" s="193">
        <f t="shared" si="2"/>
        <v>0.1956229349248668</v>
      </c>
      <c r="K12" s="160">
        <v>70</v>
      </c>
      <c r="L12" s="190">
        <f t="shared" si="7"/>
        <v>3.5988225099390854</v>
      </c>
      <c r="M12" s="189">
        <v>4.358297636158975</v>
      </c>
      <c r="N12" s="191">
        <f t="shared" si="0"/>
        <v>0.04783217598458975</v>
      </c>
      <c r="O12" s="192">
        <v>70</v>
      </c>
      <c r="P12" s="190">
        <f t="shared" si="8"/>
        <v>12.229402589451771</v>
      </c>
      <c r="Q12" s="189">
        <v>13.59878921943845</v>
      </c>
      <c r="R12" s="193">
        <f t="shared" si="3"/>
        <v>0.026528189408145192</v>
      </c>
      <c r="T12" s="205">
        <v>0.05</v>
      </c>
      <c r="U12" s="206">
        <f t="shared" si="4"/>
        <v>4</v>
      </c>
    </row>
    <row r="13" spans="2:21" ht="12.75">
      <c r="B13" s="160">
        <v>20</v>
      </c>
      <c r="C13" s="190">
        <f t="shared" si="5"/>
        <v>4.5</v>
      </c>
      <c r="D13" s="189">
        <v>3.5988225099390854</v>
      </c>
      <c r="E13" s="193">
        <f t="shared" si="1"/>
        <v>0.055809619159294534</v>
      </c>
      <c r="F13" s="201">
        <v>20</v>
      </c>
      <c r="G13" s="190">
        <f t="shared" si="6"/>
        <v>4.5</v>
      </c>
      <c r="H13" s="215">
        <v>12.229402589451771</v>
      </c>
      <c r="I13" s="193">
        <f t="shared" si="2"/>
        <v>0.2448636011300453</v>
      </c>
      <c r="K13" s="160">
        <v>60</v>
      </c>
      <c r="L13" s="190">
        <f t="shared" si="7"/>
        <v>3.5988225099390854</v>
      </c>
      <c r="M13" s="189">
        <v>4.627601499518168</v>
      </c>
      <c r="N13" s="191">
        <f t="shared" si="0"/>
        <v>0.06277534092786816</v>
      </c>
      <c r="O13" s="192">
        <v>60</v>
      </c>
      <c r="P13" s="190">
        <f t="shared" si="8"/>
        <v>12.229402589451771</v>
      </c>
      <c r="Q13" s="189">
        <v>14.071396917386572</v>
      </c>
      <c r="R13" s="193">
        <f t="shared" si="3"/>
        <v>0.03506088527572303</v>
      </c>
      <c r="T13" s="205">
        <v>0.02</v>
      </c>
      <c r="U13" s="206">
        <f t="shared" si="4"/>
        <v>25</v>
      </c>
    </row>
    <row r="14" spans="2:21" ht="12.75">
      <c r="B14" s="160">
        <v>25</v>
      </c>
      <c r="C14" s="190">
        <f t="shared" si="5"/>
        <v>4.5</v>
      </c>
      <c r="D14" s="189">
        <v>3.3892451288348657</v>
      </c>
      <c r="E14" s="193">
        <f t="shared" si="1"/>
        <v>0.07074914465386264</v>
      </c>
      <c r="F14" s="201">
        <v>25</v>
      </c>
      <c r="G14" s="190">
        <f t="shared" si="6"/>
        <v>4.5</v>
      </c>
      <c r="H14" s="215">
        <v>14.753206159513793</v>
      </c>
      <c r="I14" s="193">
        <f t="shared" si="2"/>
        <v>0.2884234031275575</v>
      </c>
      <c r="K14" s="160">
        <v>50</v>
      </c>
      <c r="L14" s="190">
        <f t="shared" si="7"/>
        <v>3.5988225099390854</v>
      </c>
      <c r="M14" s="189">
        <v>4.904978106853645</v>
      </c>
      <c r="N14" s="191">
        <f t="shared" si="0"/>
        <v>0.07725672189584007</v>
      </c>
      <c r="O14" s="192">
        <v>50</v>
      </c>
      <c r="P14" s="190">
        <f t="shared" si="8"/>
        <v>12.229402589451771</v>
      </c>
      <c r="Q14" s="189">
        <v>14.552077359310978</v>
      </c>
      <c r="R14" s="193">
        <f t="shared" si="3"/>
        <v>0.043445298934228146</v>
      </c>
      <c r="T14" s="205">
        <v>0.01</v>
      </c>
      <c r="U14" s="206">
        <f t="shared" si="4"/>
        <v>100</v>
      </c>
    </row>
    <row r="15" spans="2:21" ht="12.75">
      <c r="B15" s="160">
        <v>30</v>
      </c>
      <c r="C15" s="190">
        <f t="shared" si="5"/>
        <v>4.5</v>
      </c>
      <c r="D15" s="189">
        <v>3.185954544295049</v>
      </c>
      <c r="E15" s="193">
        <f t="shared" si="1"/>
        <v>0.08611752178584704</v>
      </c>
      <c r="F15" s="201">
        <v>30</v>
      </c>
      <c r="G15" s="190">
        <f t="shared" si="6"/>
        <v>4.5</v>
      </c>
      <c r="H15" s="215">
        <v>17.513590898655448</v>
      </c>
      <c r="I15" s="193">
        <f t="shared" si="2"/>
        <v>0.3272318206862765</v>
      </c>
      <c r="K15" s="160">
        <v>40</v>
      </c>
      <c r="L15" s="190">
        <f t="shared" si="7"/>
        <v>3.5988225099390854</v>
      </c>
      <c r="M15" s="189">
        <v>5.190427458165401</v>
      </c>
      <c r="N15" s="191">
        <f t="shared" si="0"/>
        <v>0.09129739872636476</v>
      </c>
      <c r="O15" s="192">
        <v>40</v>
      </c>
      <c r="P15" s="190">
        <f t="shared" si="8"/>
        <v>12.229402589451771</v>
      </c>
      <c r="Q15" s="189">
        <v>15.040830545211668</v>
      </c>
      <c r="R15" s="193">
        <f t="shared" si="3"/>
        <v>0.05168526238610218</v>
      </c>
      <c r="T15" s="205">
        <v>0.005</v>
      </c>
      <c r="U15" s="206">
        <f t="shared" si="4"/>
        <v>400</v>
      </c>
    </row>
    <row r="16" spans="2:21" ht="13.5" thickBot="1">
      <c r="B16" s="160">
        <v>35</v>
      </c>
      <c r="C16" s="190">
        <f t="shared" si="5"/>
        <v>4.5</v>
      </c>
      <c r="D16" s="189">
        <v>2.9889507563196376</v>
      </c>
      <c r="E16" s="193">
        <f t="shared" si="1"/>
        <v>0.10193348527327627</v>
      </c>
      <c r="F16" s="201">
        <v>35</v>
      </c>
      <c r="G16" s="190">
        <f t="shared" si="6"/>
        <v>4.5</v>
      </c>
      <c r="H16" s="215">
        <v>20.510556806876732</v>
      </c>
      <c r="I16" s="193">
        <f t="shared" si="2"/>
        <v>0.36202605020966105</v>
      </c>
      <c r="K16" s="160">
        <v>30</v>
      </c>
      <c r="L16" s="190">
        <f t="shared" si="7"/>
        <v>3.5988225099390854</v>
      </c>
      <c r="M16" s="189">
        <v>5.4839495534534395</v>
      </c>
      <c r="N16" s="191">
        <f t="shared" si="0"/>
        <v>0.10491718746455875</v>
      </c>
      <c r="O16" s="192">
        <v>30</v>
      </c>
      <c r="P16" s="190">
        <f t="shared" si="8"/>
        <v>12.229402589451771</v>
      </c>
      <c r="Q16" s="189">
        <v>15.537656475088639</v>
      </c>
      <c r="R16" s="193">
        <f t="shared" si="3"/>
        <v>0.059784476722780464</v>
      </c>
      <c r="T16" s="148">
        <v>0.001</v>
      </c>
      <c r="U16" s="207">
        <f t="shared" si="4"/>
        <v>10000</v>
      </c>
    </row>
    <row r="17" spans="2:18" ht="13.5" thickTop="1">
      <c r="B17" s="160">
        <v>40</v>
      </c>
      <c r="C17" s="190">
        <f t="shared" si="5"/>
        <v>4.5</v>
      </c>
      <c r="D17" s="189">
        <v>2.7982337649086286</v>
      </c>
      <c r="E17" s="193">
        <f t="shared" si="1"/>
        <v>0.11821687721410962</v>
      </c>
      <c r="F17" s="201">
        <v>40</v>
      </c>
      <c r="G17" s="190">
        <f t="shared" si="6"/>
        <v>4.5</v>
      </c>
      <c r="H17" s="215">
        <v>23.744103884177655</v>
      </c>
      <c r="I17" s="193">
        <f t="shared" si="2"/>
        <v>0.39339828220178713</v>
      </c>
      <c r="K17" s="160">
        <v>20</v>
      </c>
      <c r="L17" s="190">
        <f t="shared" si="7"/>
        <v>3.5988225099390854</v>
      </c>
      <c r="M17" s="189">
        <v>5.785544392717762</v>
      </c>
      <c r="N17" s="191">
        <f t="shared" si="0"/>
        <v>0.11813473367393242</v>
      </c>
      <c r="O17" s="192">
        <v>20</v>
      </c>
      <c r="P17" s="190">
        <f t="shared" si="8"/>
        <v>12.229402589451771</v>
      </c>
      <c r="Q17" s="189">
        <v>16.042555148941883</v>
      </c>
      <c r="R17" s="193">
        <f t="shared" si="3"/>
        <v>0.06774651766767012</v>
      </c>
    </row>
    <row r="18" spans="2:18" ht="12.75">
      <c r="B18" s="160">
        <v>45</v>
      </c>
      <c r="C18" s="190">
        <f t="shared" si="5"/>
        <v>4.5</v>
      </c>
      <c r="D18" s="213">
        <v>2.61</v>
      </c>
      <c r="E18" s="193">
        <f t="shared" si="1"/>
        <v>0.13534614006480555</v>
      </c>
      <c r="F18" s="201">
        <v>45</v>
      </c>
      <c r="G18" s="190">
        <f t="shared" si="6"/>
        <v>4.5</v>
      </c>
      <c r="H18" s="215">
        <v>27.21423213055821</v>
      </c>
      <c r="I18" s="193">
        <f t="shared" si="2"/>
        <v>0.42182968337436094</v>
      </c>
      <c r="K18" s="160">
        <v>10</v>
      </c>
      <c r="L18" s="190">
        <f t="shared" si="7"/>
        <v>3.5988225099390854</v>
      </c>
      <c r="M18" s="189">
        <v>6.095211975958364</v>
      </c>
      <c r="N18" s="191">
        <f t="shared" si="0"/>
        <v>0.13096759760036963</v>
      </c>
      <c r="O18" s="192">
        <v>10</v>
      </c>
      <c r="P18" s="190">
        <f t="shared" si="8"/>
        <v>12.229402589451771</v>
      </c>
      <c r="Q18" s="189">
        <v>16.55552656677142</v>
      </c>
      <c r="R18" s="193">
        <f t="shared" si="3"/>
        <v>0.07557484083985536</v>
      </c>
    </row>
    <row r="19" spans="2:18" ht="13.5" thickBot="1">
      <c r="B19" s="194">
        <v>50</v>
      </c>
      <c r="C19" s="195">
        <f t="shared" si="5"/>
        <v>4.5</v>
      </c>
      <c r="D19" s="214">
        <v>2.44</v>
      </c>
      <c r="E19" s="198">
        <f t="shared" si="1"/>
        <v>0.15183659693574925</v>
      </c>
      <c r="F19" s="202">
        <v>50</v>
      </c>
      <c r="G19" s="195">
        <f>G$9</f>
        <v>4.5</v>
      </c>
      <c r="H19" s="216">
        <v>30.920941546018387</v>
      </c>
      <c r="I19" s="198">
        <f t="shared" si="2"/>
        <v>0.44771525016920666</v>
      </c>
      <c r="K19" s="194">
        <v>0</v>
      </c>
      <c r="L19" s="195">
        <f>L$9</f>
        <v>3.5988225099390854</v>
      </c>
      <c r="M19" s="217">
        <v>6.41295230317525</v>
      </c>
      <c r="N19" s="197">
        <f t="shared" si="0"/>
        <v>0.14343233200694758</v>
      </c>
      <c r="O19" s="196">
        <v>0</v>
      </c>
      <c r="P19" s="195">
        <f>P$9</f>
        <v>12.229402589451771</v>
      </c>
      <c r="Q19" s="217">
        <v>17.076570728577238</v>
      </c>
      <c r="R19" s="198">
        <f t="shared" si="3"/>
        <v>0.08327278675480757</v>
      </c>
    </row>
    <row r="20" ht="13.5" thickTop="1"/>
    <row r="23" ht="12.75">
      <c r="J23" s="128"/>
    </row>
    <row r="24" ht="12.75">
      <c r="J24" s="128"/>
    </row>
    <row r="25" ht="12.75">
      <c r="J25" s="128"/>
    </row>
    <row r="26" ht="12.75">
      <c r="J26" s="128"/>
    </row>
    <row r="27" ht="12.75">
      <c r="J27" s="128"/>
    </row>
    <row r="28" ht="12.75">
      <c r="J28" s="128"/>
    </row>
    <row r="29" ht="12.75">
      <c r="J29" s="128"/>
    </row>
    <row r="30" ht="12.75">
      <c r="J30" s="128"/>
    </row>
    <row r="31" ht="12.75">
      <c r="J31" s="128"/>
    </row>
    <row r="32" ht="12.75">
      <c r="J32" s="128"/>
    </row>
    <row r="33" ht="12.75">
      <c r="J33" s="12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6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5" max="5" width="8.8515625" style="0" customWidth="1"/>
    <col min="6" max="6" width="9.28125" style="0" customWidth="1"/>
    <col min="7" max="8" width="9.421875" style="0" bestFit="1" customWidth="1"/>
    <col min="10" max="11" width="9.7109375" style="0" bestFit="1" customWidth="1"/>
    <col min="12" max="13" width="11.140625" style="0" bestFit="1" customWidth="1"/>
  </cols>
  <sheetData>
    <row r="1" ht="12.75">
      <c r="C1" s="90"/>
    </row>
    <row r="2" spans="2:3" ht="18">
      <c r="B2" s="158" t="s">
        <v>113</v>
      </c>
      <c r="C2" s="90"/>
    </row>
    <row r="3" spans="3:6" ht="15.75">
      <c r="C3" s="131" t="s">
        <v>82</v>
      </c>
      <c r="F3" s="77" t="s">
        <v>121</v>
      </c>
    </row>
    <row r="4" spans="3:15" ht="16.5" thickBot="1">
      <c r="C4" s="185" t="s">
        <v>122</v>
      </c>
      <c r="F4" s="175"/>
      <c r="G4" s="176"/>
      <c r="H4" s="176"/>
      <c r="I4" s="176"/>
      <c r="J4" s="176"/>
      <c r="K4" s="176"/>
      <c r="L4" s="176"/>
      <c r="O4" s="2" t="s">
        <v>119</v>
      </c>
    </row>
    <row r="5" spans="3:17" ht="17.25" thickBot="1" thickTop="1">
      <c r="C5" s="131"/>
      <c r="F5" s="77"/>
      <c r="O5" s="132"/>
      <c r="P5" s="133" t="s">
        <v>120</v>
      </c>
      <c r="Q5" s="134" t="s">
        <v>37</v>
      </c>
    </row>
    <row r="6" spans="2:17" ht="14.25" thickBot="1" thickTop="1">
      <c r="B6" s="132"/>
      <c r="C6" s="133"/>
      <c r="D6" s="133"/>
      <c r="E6" s="133"/>
      <c r="F6" s="133"/>
      <c r="G6" s="173" t="s">
        <v>83</v>
      </c>
      <c r="H6" s="173"/>
      <c r="I6" s="173" t="s">
        <v>115</v>
      </c>
      <c r="J6" s="174"/>
      <c r="K6" s="133"/>
      <c r="L6" s="133"/>
      <c r="M6" s="134"/>
      <c r="O6" s="163"/>
      <c r="P6" s="164"/>
      <c r="Q6" s="165" t="s">
        <v>38</v>
      </c>
    </row>
    <row r="7" spans="2:17" ht="12.75">
      <c r="B7" s="135"/>
      <c r="C7" s="136"/>
      <c r="D7" s="136"/>
      <c r="E7" s="136"/>
      <c r="F7" s="136"/>
      <c r="G7" s="177" t="s">
        <v>90</v>
      </c>
      <c r="H7" s="177" t="s">
        <v>91</v>
      </c>
      <c r="I7" s="177" t="s">
        <v>116</v>
      </c>
      <c r="J7" s="178" t="s">
        <v>117</v>
      </c>
      <c r="K7" s="139" t="s">
        <v>118</v>
      </c>
      <c r="L7" s="136"/>
      <c r="M7" s="137"/>
      <c r="O7" s="160" t="s">
        <v>90</v>
      </c>
      <c r="P7" s="166" t="s">
        <v>3</v>
      </c>
      <c r="Q7" s="169">
        <v>4.4</v>
      </c>
    </row>
    <row r="8" spans="2:17" ht="12.75">
      <c r="B8" s="138" t="s">
        <v>44</v>
      </c>
      <c r="C8" s="139" t="s">
        <v>48</v>
      </c>
      <c r="D8" s="139"/>
      <c r="E8" s="140" t="s">
        <v>10</v>
      </c>
      <c r="F8" s="140" t="s">
        <v>49</v>
      </c>
      <c r="G8" s="159" t="str">
        <f>P7</f>
        <v>Quartz</v>
      </c>
      <c r="H8" s="159" t="str">
        <f>P8</f>
        <v>Calcite</v>
      </c>
      <c r="I8" s="168" t="str">
        <f>P9</f>
        <v>Water</v>
      </c>
      <c r="J8" s="159" t="str">
        <f>P10</f>
        <v>Air</v>
      </c>
      <c r="K8" s="140" t="s">
        <v>12</v>
      </c>
      <c r="L8" s="140" t="s">
        <v>14</v>
      </c>
      <c r="M8" s="141" t="s">
        <v>16</v>
      </c>
      <c r="O8" s="160" t="s">
        <v>91</v>
      </c>
      <c r="P8" s="166" t="s">
        <v>9</v>
      </c>
      <c r="Q8" s="169">
        <v>8.5</v>
      </c>
    </row>
    <row r="9" spans="2:17" ht="13.5" thickBot="1">
      <c r="B9" s="154" t="s">
        <v>47</v>
      </c>
      <c r="C9" s="155" t="s">
        <v>45</v>
      </c>
      <c r="D9" s="155" t="s">
        <v>46</v>
      </c>
      <c r="E9" s="155" t="s">
        <v>13</v>
      </c>
      <c r="F9" s="155" t="s">
        <v>50</v>
      </c>
      <c r="G9" s="155" t="s">
        <v>50</v>
      </c>
      <c r="H9" s="155" t="s">
        <v>50</v>
      </c>
      <c r="I9" s="156" t="s">
        <v>51</v>
      </c>
      <c r="J9" s="171" t="s">
        <v>51</v>
      </c>
      <c r="K9" s="155" t="s">
        <v>11</v>
      </c>
      <c r="L9" s="155" t="s">
        <v>15</v>
      </c>
      <c r="M9" s="157" t="s">
        <v>17</v>
      </c>
      <c r="O9" s="161" t="s">
        <v>116</v>
      </c>
      <c r="P9" s="166" t="s">
        <v>6</v>
      </c>
      <c r="Q9" s="169">
        <v>81</v>
      </c>
    </row>
    <row r="10" spans="2:17" ht="13.5" thickBot="1">
      <c r="B10" s="142">
        <v>1</v>
      </c>
      <c r="C10" s="143">
        <v>0</v>
      </c>
      <c r="D10" s="144">
        <f>C11</f>
        <v>0.5</v>
      </c>
      <c r="E10" s="145">
        <f>D10-C10</f>
        <v>0.5</v>
      </c>
      <c r="F10" s="143">
        <f>'(2)TP model-Porosity-Mineralogy'!K22</f>
        <v>35</v>
      </c>
      <c r="G10" s="143">
        <v>100</v>
      </c>
      <c r="H10" s="144">
        <f>100-G10</f>
        <v>0</v>
      </c>
      <c r="I10" s="143">
        <v>30</v>
      </c>
      <c r="J10" s="16">
        <f>100-I10</f>
        <v>70</v>
      </c>
      <c r="K10" s="179">
        <f>((1-$H10/100)*(1-F10/100)*($Q$7)^0.5+($H10/100)*(1-F10/100)*($Q$8)^0.5+(F10/100)*$I10/100*($Q$9)^0.5+(F10/100)*$J10/100*($Q$10)^0.5)^2</f>
        <v>6.520114576238449</v>
      </c>
      <c r="L10" s="146">
        <f>(2*(D10-C10)*(K10)^0.5)/(3*10^8)*(1*10^9)</f>
        <v>8.511505008737323</v>
      </c>
      <c r="M10" s="147">
        <f>((K10)^0.5-(K11)^0.5)/((K10)^0.5+(K11)^0.5)</f>
        <v>-0.27734921486060105</v>
      </c>
      <c r="O10" s="162" t="s">
        <v>117</v>
      </c>
      <c r="P10" s="167" t="s">
        <v>5</v>
      </c>
      <c r="Q10" s="170">
        <v>1</v>
      </c>
    </row>
    <row r="11" spans="2:13" ht="13.5" thickTop="1">
      <c r="B11" s="142">
        <v>2</v>
      </c>
      <c r="C11" s="143">
        <v>0.5</v>
      </c>
      <c r="D11" s="144">
        <f>C12</f>
        <v>1</v>
      </c>
      <c r="E11" s="145">
        <f>D11-C11</f>
        <v>0.5</v>
      </c>
      <c r="F11" s="143">
        <v>35</v>
      </c>
      <c r="G11" s="143">
        <v>100</v>
      </c>
      <c r="H11" s="144">
        <f>100-G11</f>
        <v>0</v>
      </c>
      <c r="I11" s="143">
        <v>100</v>
      </c>
      <c r="J11" s="16">
        <f>100-I11</f>
        <v>0</v>
      </c>
      <c r="K11" s="180">
        <f>((1-$H11/100)*(1-F11/100)*($Q$7)^0.5+($H11/100)*(1-F11/100)*($Q$8)^0.5+(F11/100)*$I11/100*($Q$9)^0.5+(F11/100)*$J11/100*($Q$10)^0.5)^2</f>
        <v>20.37124446651354</v>
      </c>
      <c r="L11" s="146">
        <f>(2*(D11-C11)*(K11)^0.5)/(3*10^8)*(1*10^9)+L10</f>
        <v>23.55634335080798</v>
      </c>
      <c r="M11" s="147">
        <f>((K11)^0.5-(K12)^0.5)/((K11)^0.5+(K12)^0.5)</f>
        <v>-0.008756373683107239</v>
      </c>
    </row>
    <row r="12" spans="2:13" ht="13.5" thickBot="1">
      <c r="B12" s="148">
        <v>3</v>
      </c>
      <c r="C12" s="149">
        <v>1</v>
      </c>
      <c r="D12" s="149">
        <v>1.5</v>
      </c>
      <c r="E12" s="150">
        <f>D12-C12</f>
        <v>0.5</v>
      </c>
      <c r="F12" s="149">
        <v>35</v>
      </c>
      <c r="G12" s="149">
        <v>85</v>
      </c>
      <c r="H12" s="151">
        <f>100-G12</f>
        <v>15</v>
      </c>
      <c r="I12" s="149">
        <v>100</v>
      </c>
      <c r="J12" s="172">
        <f>100-I12</f>
        <v>0</v>
      </c>
      <c r="K12" s="181">
        <f>((1-$H12/100)*(1-F12/100)*($Q$7)^0.5+($H12/100)*(1-F12/100)*($Q$8)^0.5+(F12/100)*$I12/100*($Q$9)^0.5+(F12/100)*$J12/100*($Q$10)^0.5)^2</f>
        <v>21.09741901491285</v>
      </c>
      <c r="L12" s="152">
        <f>(2*(D12-C12)*(K12)^0.5)/(3*10^8)*(1*10^9)+L11</f>
        <v>38.8669856244804</v>
      </c>
      <c r="M12" s="153"/>
    </row>
    <row r="13" spans="2:12" ht="13.5" thickTop="1">
      <c r="B13" s="76"/>
      <c r="C13" s="76"/>
      <c r="D13" s="76"/>
      <c r="E13" s="76"/>
      <c r="F13" s="76"/>
      <c r="G13" s="76"/>
      <c r="H13" s="76"/>
      <c r="I13" s="76"/>
      <c r="J13" s="124"/>
      <c r="K13" s="124"/>
      <c r="L13" s="66"/>
    </row>
    <row r="22" spans="6:10" ht="12.75">
      <c r="F22" s="65"/>
      <c r="G22" s="41"/>
      <c r="H22" s="41"/>
      <c r="I22" s="41"/>
      <c r="J22" s="41"/>
    </row>
    <row r="23" spans="6:10" ht="12.75">
      <c r="F23" s="65"/>
      <c r="G23" s="41"/>
      <c r="H23" s="41"/>
      <c r="I23" s="41"/>
      <c r="J23" s="41"/>
    </row>
    <row r="24" spans="6:10" ht="12.75">
      <c r="F24" s="40"/>
      <c r="G24" s="40"/>
      <c r="H24" s="42"/>
      <c r="I24" s="42"/>
      <c r="J24" s="40"/>
    </row>
    <row r="25" spans="6:10" ht="12.75">
      <c r="F25" s="40"/>
      <c r="G25" s="40"/>
      <c r="H25" s="42"/>
      <c r="I25" s="42"/>
      <c r="J25" s="40"/>
    </row>
    <row r="26" spans="6:10" ht="12.75">
      <c r="F26" s="40"/>
      <c r="G26" s="40"/>
      <c r="H26" s="42"/>
      <c r="I26" s="42"/>
      <c r="J26" s="40"/>
    </row>
    <row r="35" spans="2:9" ht="12.75">
      <c r="B35" t="s">
        <v>56</v>
      </c>
      <c r="I35" s="2" t="s">
        <v>114</v>
      </c>
    </row>
    <row r="36" spans="2:6" ht="12.75">
      <c r="B36" s="4" t="s">
        <v>44</v>
      </c>
      <c r="C36" s="4" t="s">
        <v>43</v>
      </c>
      <c r="D36" s="4" t="s">
        <v>12</v>
      </c>
      <c r="E36" t="s">
        <v>14</v>
      </c>
      <c r="F36" t="s">
        <v>16</v>
      </c>
    </row>
    <row r="37" spans="2:6" ht="12.75">
      <c r="B37" s="4" t="s">
        <v>47</v>
      </c>
      <c r="C37" s="4" t="s">
        <v>13</v>
      </c>
      <c r="D37" s="4" t="s">
        <v>11</v>
      </c>
      <c r="E37" t="s">
        <v>15</v>
      </c>
      <c r="F37" t="s">
        <v>17</v>
      </c>
    </row>
    <row r="38" spans="2:6" ht="12.75">
      <c r="B38" s="4">
        <f>B10</f>
        <v>1</v>
      </c>
      <c r="C38" s="4">
        <f>C10</f>
        <v>0</v>
      </c>
      <c r="D38" s="69">
        <f>K10</f>
        <v>6.520114576238449</v>
      </c>
      <c r="E38" s="4">
        <v>0</v>
      </c>
      <c r="F38" s="4">
        <v>0</v>
      </c>
    </row>
    <row r="39" spans="2:6" ht="12.75">
      <c r="B39" s="4"/>
      <c r="C39" s="4">
        <f>D10</f>
        <v>0.5</v>
      </c>
      <c r="D39" s="69">
        <f>K10</f>
        <v>6.520114576238449</v>
      </c>
      <c r="E39" s="69">
        <f>L10</f>
        <v>8.511505008737323</v>
      </c>
      <c r="F39" s="4">
        <v>0</v>
      </c>
    </row>
    <row r="40" spans="2:6" ht="12.75">
      <c r="B40" s="4"/>
      <c r="C40" s="4">
        <f>C39</f>
        <v>0.5</v>
      </c>
      <c r="D40" s="69">
        <f>D39</f>
        <v>6.520114576238449</v>
      </c>
      <c r="E40" s="69">
        <f>E39</f>
        <v>8.511505008737323</v>
      </c>
      <c r="F40" s="70">
        <f>M10</f>
        <v>-0.27734921486060105</v>
      </c>
    </row>
    <row r="41" spans="2:6" ht="12.75">
      <c r="B41" s="4">
        <f>B11</f>
        <v>2</v>
      </c>
      <c r="C41" s="4">
        <f>C11</f>
        <v>0.5</v>
      </c>
      <c r="D41" s="69">
        <f>K11</f>
        <v>20.37124446651354</v>
      </c>
      <c r="E41" s="69">
        <f>L10</f>
        <v>8.511505008737323</v>
      </c>
      <c r="F41" s="71">
        <v>0</v>
      </c>
    </row>
    <row r="42" spans="2:6" ht="12.75">
      <c r="B42" s="4"/>
      <c r="C42" s="4">
        <f>D11</f>
        <v>1</v>
      </c>
      <c r="D42" s="69">
        <f>K11</f>
        <v>20.37124446651354</v>
      </c>
      <c r="E42" s="69">
        <f>L11</f>
        <v>23.55634335080798</v>
      </c>
      <c r="F42" s="4">
        <v>0</v>
      </c>
    </row>
    <row r="43" spans="2:6" ht="12.75">
      <c r="B43" s="4"/>
      <c r="C43" s="4">
        <f>C42</f>
        <v>1</v>
      </c>
      <c r="D43" s="69">
        <f>D42</f>
        <v>20.37124446651354</v>
      </c>
      <c r="E43" s="69">
        <f>E42</f>
        <v>23.55634335080798</v>
      </c>
      <c r="F43" s="70">
        <f>M11</f>
        <v>-0.008756373683107239</v>
      </c>
    </row>
    <row r="44" spans="2:6" ht="12.75">
      <c r="B44" s="4">
        <f>B12</f>
        <v>3</v>
      </c>
      <c r="C44" s="4">
        <f>C42</f>
        <v>1</v>
      </c>
      <c r="D44" s="69">
        <f>K12</f>
        <v>21.09741901491285</v>
      </c>
      <c r="E44" s="69">
        <f>L11</f>
        <v>23.55634335080798</v>
      </c>
      <c r="F44" s="71">
        <v>0</v>
      </c>
    </row>
    <row r="45" spans="2:6" ht="12.75">
      <c r="B45" s="4"/>
      <c r="C45" s="4">
        <f>C12</f>
        <v>1</v>
      </c>
      <c r="D45" s="69">
        <f>K12</f>
        <v>21.09741901491285</v>
      </c>
      <c r="E45" s="69">
        <f>L12</f>
        <v>38.8669856244804</v>
      </c>
      <c r="F45" s="71">
        <v>0</v>
      </c>
    </row>
    <row r="46" spans="3:6" ht="12.75">
      <c r="C46" s="4">
        <f>D12</f>
        <v>1.5</v>
      </c>
      <c r="D46" s="69">
        <f>K12</f>
        <v>21.09741901491285</v>
      </c>
      <c r="E46" s="69">
        <f>L12</f>
        <v>38.8669856244804</v>
      </c>
      <c r="F46" s="4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"/>
  <sheetViews>
    <sheetView workbookViewId="0" topLeftCell="A1">
      <selection activeCell="B2" sqref="B2"/>
    </sheetView>
  </sheetViews>
  <sheetFormatPr defaultColWidth="9.140625" defaultRowHeight="12.75"/>
  <cols>
    <col min="2" max="2" width="16.7109375" style="0" customWidth="1"/>
    <col min="3" max="3" width="20.8515625" style="0" bestFit="1" customWidth="1"/>
    <col min="4" max="4" width="12.8515625" style="0" bestFit="1" customWidth="1"/>
    <col min="11" max="11" width="10.57421875" style="0" bestFit="1" customWidth="1"/>
  </cols>
  <sheetData>
    <row r="2" ht="12.75">
      <c r="B2" s="2" t="s">
        <v>139</v>
      </c>
    </row>
    <row r="4" ht="13.5" thickBot="1">
      <c r="B4" t="s">
        <v>140</v>
      </c>
    </row>
    <row r="5" spans="2:4" ht="13.5" thickTop="1">
      <c r="B5" s="227" t="s">
        <v>141</v>
      </c>
      <c r="C5" s="245" t="s">
        <v>63</v>
      </c>
      <c r="D5" s="246"/>
    </row>
    <row r="6" spans="2:7" ht="12.75">
      <c r="B6" s="224"/>
      <c r="C6" s="225" t="s">
        <v>142</v>
      </c>
      <c r="D6" s="226" t="s">
        <v>143</v>
      </c>
      <c r="G6" t="s">
        <v>196</v>
      </c>
    </row>
    <row r="7" spans="2:7" ht="12.75">
      <c r="B7" s="218" t="s">
        <v>5</v>
      </c>
      <c r="C7" s="219">
        <v>1</v>
      </c>
      <c r="D7" s="220">
        <v>1</v>
      </c>
      <c r="G7" t="s">
        <v>197</v>
      </c>
    </row>
    <row r="8" spans="2:4" ht="13.5" thickBot="1">
      <c r="B8" s="218" t="s">
        <v>144</v>
      </c>
      <c r="C8" s="219">
        <v>80</v>
      </c>
      <c r="D8" s="220"/>
    </row>
    <row r="9" spans="2:14" ht="13.5" thickTop="1">
      <c r="B9" s="218" t="s">
        <v>145</v>
      </c>
      <c r="C9" s="219">
        <v>80</v>
      </c>
      <c r="D9" s="220">
        <v>81</v>
      </c>
      <c r="G9" s="227" t="s">
        <v>39</v>
      </c>
      <c r="H9" s="230" t="s">
        <v>37</v>
      </c>
      <c r="I9" s="230" t="s">
        <v>198</v>
      </c>
      <c r="J9" s="230" t="s">
        <v>198</v>
      </c>
      <c r="K9" s="230" t="s">
        <v>199</v>
      </c>
      <c r="L9" s="230" t="s">
        <v>199</v>
      </c>
      <c r="M9" s="247" t="s">
        <v>200</v>
      </c>
      <c r="N9" s="248"/>
    </row>
    <row r="10" spans="2:14" ht="13.5" thickBot="1">
      <c r="B10" s="218" t="s">
        <v>146</v>
      </c>
      <c r="C10" s="219">
        <v>80</v>
      </c>
      <c r="D10" s="220"/>
      <c r="G10" s="238" t="s">
        <v>40</v>
      </c>
      <c r="H10" s="239" t="s">
        <v>38</v>
      </c>
      <c r="I10" s="239" t="s">
        <v>201</v>
      </c>
      <c r="J10" s="239" t="s">
        <v>202</v>
      </c>
      <c r="K10" s="239" t="s">
        <v>203</v>
      </c>
      <c r="L10" s="239" t="s">
        <v>13</v>
      </c>
      <c r="M10" s="239" t="s">
        <v>203</v>
      </c>
      <c r="N10" s="240" t="s">
        <v>13</v>
      </c>
    </row>
    <row r="11" spans="2:14" ht="12.75">
      <c r="B11" s="218" t="s">
        <v>147</v>
      </c>
      <c r="C11" s="219" t="s">
        <v>148</v>
      </c>
      <c r="D11" s="220">
        <v>4</v>
      </c>
      <c r="G11" s="243">
        <v>50</v>
      </c>
      <c r="H11" s="235">
        <v>2.5</v>
      </c>
      <c r="I11" s="236">
        <f>(3*(10^8))/((H11)^(0.5))/(10^9)</f>
        <v>0.18973665961010275</v>
      </c>
      <c r="J11" s="236">
        <f>I11/0.3048</f>
        <v>0.6224956023953502</v>
      </c>
      <c r="K11" s="236">
        <f>J11*(10^9)/(G11*(10^6))</f>
        <v>12.449912047907004</v>
      </c>
      <c r="L11" s="236">
        <f>K11*0.3048</f>
        <v>3.794733192202055</v>
      </c>
      <c r="M11" s="236">
        <f>K11/4</f>
        <v>3.112478011976751</v>
      </c>
      <c r="N11" s="237">
        <f>M11*0.3048</f>
        <v>0.9486832980505138</v>
      </c>
    </row>
    <row r="12" spans="2:14" ht="12.75">
      <c r="B12" s="218" t="s">
        <v>149</v>
      </c>
      <c r="C12" s="219"/>
      <c r="D12" s="220" t="s">
        <v>150</v>
      </c>
      <c r="G12" s="244">
        <v>110</v>
      </c>
      <c r="H12" s="229">
        <f>H11</f>
        <v>2.5</v>
      </c>
      <c r="I12" s="228">
        <f>(3*(10^8))/((H12)^(0.5))/(10^9)</f>
        <v>0.18973665961010275</v>
      </c>
      <c r="J12" s="228">
        <f>I12/0.3048</f>
        <v>0.6224956023953502</v>
      </c>
      <c r="K12" s="228">
        <f>J12*(10^9)/(G12*(10^6))</f>
        <v>5.65905093086682</v>
      </c>
      <c r="L12" s="228">
        <f>K12*0.3048</f>
        <v>1.7248787237282068</v>
      </c>
      <c r="M12" s="228">
        <f>K12/4</f>
        <v>1.414762732716705</v>
      </c>
      <c r="N12" s="231">
        <f>M12*0.3048</f>
        <v>0.4312196809320517</v>
      </c>
    </row>
    <row r="13" spans="2:14" ht="12.75">
      <c r="B13" s="218" t="s">
        <v>151</v>
      </c>
      <c r="C13" s="219"/>
      <c r="D13" s="220" t="s">
        <v>152</v>
      </c>
      <c r="G13" s="242">
        <v>225</v>
      </c>
      <c r="H13" s="229">
        <f>H11</f>
        <v>2.5</v>
      </c>
      <c r="I13" s="228">
        <f>(3*(10^8))/((H13)^(0.5))/(10^9)</f>
        <v>0.18973665961010275</v>
      </c>
      <c r="J13" s="228">
        <f>I13/0.3048</f>
        <v>0.6224956023953502</v>
      </c>
      <c r="K13" s="228">
        <f>J13*(10^9)/(G13*(10^6))</f>
        <v>2.7666471217571122</v>
      </c>
      <c r="L13" s="228">
        <f>K13*0.3048</f>
        <v>0.8432740427115678</v>
      </c>
      <c r="M13" s="228">
        <f>K13/4</f>
        <v>0.6916617804392781</v>
      </c>
      <c r="N13" s="231">
        <f>M13*0.3048</f>
        <v>0.21081851067789195</v>
      </c>
    </row>
    <row r="14" spans="2:14" ht="13.5" thickBot="1">
      <c r="B14" s="218" t="s">
        <v>153</v>
      </c>
      <c r="C14" s="219"/>
      <c r="D14" s="220" t="s">
        <v>150</v>
      </c>
      <c r="G14" s="241">
        <v>450</v>
      </c>
      <c r="H14" s="232">
        <f>H11</f>
        <v>2.5</v>
      </c>
      <c r="I14" s="233">
        <f>(3*(10^8))/((H14)^(0.5))/(10^9)</f>
        <v>0.18973665961010275</v>
      </c>
      <c r="J14" s="233">
        <f>I14/0.3048</f>
        <v>0.6224956023953502</v>
      </c>
      <c r="K14" s="233">
        <f>J14*(10^9)/(G14*(10^6))</f>
        <v>1.3833235608785561</v>
      </c>
      <c r="L14" s="233">
        <f>K14*0.3048</f>
        <v>0.4216370213557839</v>
      </c>
      <c r="M14" s="233">
        <f>K14/4</f>
        <v>0.34583089021963903</v>
      </c>
      <c r="N14" s="234">
        <f>M14*0.3048</f>
        <v>0.10540925533894598</v>
      </c>
    </row>
    <row r="15" spans="2:4" ht="13.5" thickTop="1">
      <c r="B15" s="218" t="s">
        <v>154</v>
      </c>
      <c r="C15" s="219" t="s">
        <v>155</v>
      </c>
      <c r="D15" s="220" t="s">
        <v>156</v>
      </c>
    </row>
    <row r="16" spans="2:4" ht="12.75">
      <c r="B16" s="218" t="s">
        <v>157</v>
      </c>
      <c r="C16" s="219" t="s">
        <v>158</v>
      </c>
      <c r="D16" s="220" t="s">
        <v>159</v>
      </c>
    </row>
    <row r="17" spans="2:4" ht="12.75">
      <c r="B17" s="218" t="s">
        <v>160</v>
      </c>
      <c r="C17" s="219"/>
      <c r="D17" s="220" t="s">
        <v>161</v>
      </c>
    </row>
    <row r="18" spans="2:4" ht="12.75">
      <c r="B18" s="218" t="s">
        <v>162</v>
      </c>
      <c r="C18" s="219"/>
      <c r="D18" s="220" t="s">
        <v>163</v>
      </c>
    </row>
    <row r="19" spans="2:4" ht="12.75">
      <c r="B19" s="218" t="s">
        <v>164</v>
      </c>
      <c r="C19" s="219" t="s">
        <v>150</v>
      </c>
      <c r="D19" s="220"/>
    </row>
    <row r="20" spans="2:4" ht="12.75">
      <c r="B20" s="218" t="s">
        <v>165</v>
      </c>
      <c r="C20" s="219"/>
      <c r="D20" s="220">
        <v>7</v>
      </c>
    </row>
    <row r="21" spans="2:4" ht="12.75">
      <c r="B21" s="218" t="s">
        <v>166</v>
      </c>
      <c r="C21" s="219"/>
      <c r="D21" s="220">
        <v>8</v>
      </c>
    </row>
    <row r="22" spans="2:4" ht="12.75">
      <c r="B22" s="218" t="s">
        <v>167</v>
      </c>
      <c r="C22" s="219" t="s">
        <v>168</v>
      </c>
      <c r="D22" s="220"/>
    </row>
    <row r="23" spans="2:4" ht="12.75">
      <c r="B23" s="218" t="s">
        <v>169</v>
      </c>
      <c r="C23" s="219"/>
      <c r="D23" s="220" t="s">
        <v>170</v>
      </c>
    </row>
    <row r="24" spans="2:4" ht="12.75">
      <c r="B24" s="218" t="s">
        <v>171</v>
      </c>
      <c r="C24" s="219" t="s">
        <v>172</v>
      </c>
      <c r="D24" s="220"/>
    </row>
    <row r="25" spans="2:4" ht="12.75">
      <c r="B25" s="218" t="s">
        <v>173</v>
      </c>
      <c r="C25" s="219" t="s">
        <v>174</v>
      </c>
      <c r="D25" s="220"/>
    </row>
    <row r="26" spans="2:4" ht="12.75">
      <c r="B26" s="218" t="s">
        <v>175</v>
      </c>
      <c r="C26" s="219"/>
      <c r="D26" s="220" t="s">
        <v>176</v>
      </c>
    </row>
    <row r="27" spans="2:4" ht="12.75">
      <c r="B27" s="218" t="s">
        <v>177</v>
      </c>
      <c r="C27" s="219"/>
      <c r="D27" s="220" t="s">
        <v>178</v>
      </c>
    </row>
    <row r="28" spans="2:4" ht="12.75">
      <c r="B28" s="218" t="s">
        <v>179</v>
      </c>
      <c r="C28" s="219"/>
      <c r="D28" s="220" t="s">
        <v>156</v>
      </c>
    </row>
    <row r="29" spans="2:4" ht="12.75">
      <c r="B29" s="218" t="s">
        <v>180</v>
      </c>
      <c r="C29" s="219"/>
      <c r="D29" s="220" t="s">
        <v>181</v>
      </c>
    </row>
    <row r="30" spans="2:4" ht="12.75">
      <c r="B30" s="218" t="s">
        <v>182</v>
      </c>
      <c r="C30" s="219"/>
      <c r="D30" s="220" t="s">
        <v>156</v>
      </c>
    </row>
    <row r="31" spans="2:4" ht="12.75">
      <c r="B31" s="218" t="s">
        <v>183</v>
      </c>
      <c r="C31" s="219"/>
      <c r="D31" s="220" t="s">
        <v>184</v>
      </c>
    </row>
    <row r="32" spans="2:4" ht="12.75">
      <c r="B32" s="218" t="s">
        <v>185</v>
      </c>
      <c r="C32" s="219"/>
      <c r="D32" s="220" t="s">
        <v>156</v>
      </c>
    </row>
    <row r="33" spans="2:4" ht="12.75">
      <c r="B33" s="218" t="s">
        <v>186</v>
      </c>
      <c r="C33" s="219"/>
      <c r="D33" s="220" t="s">
        <v>187</v>
      </c>
    </row>
    <row r="34" spans="2:4" ht="12.75">
      <c r="B34" s="218" t="s">
        <v>188</v>
      </c>
      <c r="C34" s="219"/>
      <c r="D34" s="220">
        <v>3.5</v>
      </c>
    </row>
    <row r="35" spans="2:4" ht="12.75">
      <c r="B35" s="218" t="s">
        <v>189</v>
      </c>
      <c r="C35" s="219"/>
      <c r="D35" s="220">
        <v>8</v>
      </c>
    </row>
    <row r="36" spans="2:4" ht="12.75">
      <c r="B36" s="218" t="s">
        <v>190</v>
      </c>
      <c r="C36" s="219" t="s">
        <v>156</v>
      </c>
      <c r="D36" s="220"/>
    </row>
    <row r="37" spans="2:4" ht="12.75">
      <c r="B37" s="218" t="s">
        <v>191</v>
      </c>
      <c r="C37" s="219"/>
      <c r="D37" s="220">
        <v>5</v>
      </c>
    </row>
    <row r="38" spans="2:4" ht="12.75">
      <c r="B38" s="218" t="s">
        <v>192</v>
      </c>
      <c r="C38" s="219"/>
      <c r="D38" s="220">
        <v>7</v>
      </c>
    </row>
    <row r="39" spans="2:4" ht="13.5" thickBot="1">
      <c r="B39" s="221" t="s">
        <v>193</v>
      </c>
      <c r="C39" s="222" t="s">
        <v>194</v>
      </c>
      <c r="D39" s="223" t="s">
        <v>195</v>
      </c>
    </row>
    <row r="40" ht="13.5" thickTop="1"/>
  </sheetData>
  <mergeCells count="2">
    <mergeCell ref="C5:D5"/>
    <mergeCell ref="M9:N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9.421875" style="0" customWidth="1"/>
  </cols>
  <sheetData>
    <row r="1" ht="18">
      <c r="B1" s="158" t="s">
        <v>123</v>
      </c>
    </row>
    <row r="2" ht="15.75">
      <c r="B2" s="185" t="s">
        <v>125</v>
      </c>
    </row>
    <row r="3" spans="5:7" ht="12.75">
      <c r="E3" s="3" t="s">
        <v>67</v>
      </c>
      <c r="F3" s="75">
        <v>30</v>
      </c>
      <c r="G3" s="184" t="s">
        <v>124</v>
      </c>
    </row>
    <row r="4" spans="5:6" ht="12.75">
      <c r="E4" s="3" t="s">
        <v>66</v>
      </c>
      <c r="F4" s="75">
        <v>125</v>
      </c>
    </row>
    <row r="5" ht="13.5" thickBot="1"/>
    <row r="6" spans="3:5" ht="13.5" thickTop="1">
      <c r="C6" s="78" t="s">
        <v>65</v>
      </c>
      <c r="D6" s="182" t="s">
        <v>69</v>
      </c>
      <c r="E6" s="183"/>
    </row>
    <row r="7" spans="1:5" ht="12.75">
      <c r="A7" s="184"/>
      <c r="B7" s="3"/>
      <c r="C7" s="62" t="s">
        <v>13</v>
      </c>
      <c r="D7" s="57" t="s">
        <v>68</v>
      </c>
      <c r="E7" s="79" t="s">
        <v>70</v>
      </c>
    </row>
    <row r="8" spans="2:5" ht="12.75">
      <c r="B8" s="3"/>
      <c r="C8" s="125">
        <v>0</v>
      </c>
      <c r="D8" s="82">
        <f>(3*10^8)/($F$4*10^6*($F$3^0.5)*4)+(C8/($F$3-1)^0.5)</f>
        <v>0.10954451150103321</v>
      </c>
      <c r="E8" s="80">
        <f>D8/2</f>
        <v>0.054772255750516606</v>
      </c>
    </row>
    <row r="9" spans="3:5" ht="12.75">
      <c r="C9" s="125">
        <v>1</v>
      </c>
      <c r="D9" s="82">
        <f>(3*10^8)/($F$4*10^6*($F$3^0.5)*4)+(C9/($F$3-1)^0.5)</f>
        <v>0.2952398496780851</v>
      </c>
      <c r="E9" s="80">
        <f>D9/2</f>
        <v>0.14761992483904254</v>
      </c>
    </row>
    <row r="10" spans="3:5" ht="13.5" thickBot="1">
      <c r="C10" s="126">
        <v>2</v>
      </c>
      <c r="D10" s="83">
        <f>(3*10^8)/($F$4*10^6*($F$3^0.5)*4)+(C10/($F$3-1)^0.5)</f>
        <v>0.48093518785513695</v>
      </c>
      <c r="E10" s="81">
        <f>D10/2</f>
        <v>0.24046759392756847</v>
      </c>
    </row>
    <row r="11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Modeling Dielectric Constant Values of Geologic Materials</dc:title>
  <dc:subject>KGS CUrrent Research Bull. 247, Part 1, 2001</dc:subject>
  <dc:creator>Alex Martinez and Alan Byrnes</dc:creator>
  <cp:keywords>ground penetrating radar, GPR, modeling, dielectric constant</cp:keywords>
  <dc:description/>
  <cp:lastModifiedBy>Alan P. Byrnes</cp:lastModifiedBy>
  <cp:lastPrinted>1999-06-09T15:06:20Z</cp:lastPrinted>
  <dcterms:created xsi:type="dcterms:W3CDTF">1999-03-04T20:14:44Z</dcterms:created>
  <dcterms:modified xsi:type="dcterms:W3CDTF">2001-12-03T14:37:03Z</dcterms:modified>
  <cp:category/>
  <cp:version/>
  <cp:contentType/>
  <cp:contentStatus/>
</cp:coreProperties>
</file>